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research\SURVEYS\CSRDE\CSDRE 14-15\"/>
    </mc:Choice>
  </mc:AlternateContent>
  <bookViews>
    <workbookView xWindow="0" yWindow="0" windowWidth="20490" windowHeight="8340" tabRatio="858" activeTab="1"/>
  </bookViews>
  <sheets>
    <sheet name="Introduction" sheetId="47" r:id="rId1"/>
    <sheet name="Instructions" sheetId="48" r:id="rId2"/>
    <sheet name="Section I" sheetId="30" r:id="rId3"/>
    <sheet name="Section I_Alternative" sheetId="53" r:id="rId4"/>
    <sheet name="Characteristics" sheetId="49" r:id="rId5"/>
    <sheet name="Section I Checklist" sheetId="50" r:id="rId6"/>
    <sheet name="Definitions" sheetId="51" r:id="rId7"/>
    <sheet name="Documentation" sheetId="55" r:id="rId8"/>
  </sheets>
  <externalReferences>
    <externalReference r:id="rId9"/>
  </externalReferences>
  <definedNames>
    <definedName name="iYear" localSheetId="4">MIN('[1]Section I'!$C$20:$C$40)</definedName>
    <definedName name="iYear" localSheetId="6">MIN('[1]Section I'!$C$20:$C$40)</definedName>
    <definedName name="iYear" localSheetId="1">MIN('[1]Section I'!$C$20:$C$40)</definedName>
    <definedName name="iYear" localSheetId="0">MIN('[1]Section I'!$C$20:$C$40)</definedName>
    <definedName name="iYear" localSheetId="5">MIN('[1]Section I'!$C$20:$C$40)</definedName>
    <definedName name="iYear" localSheetId="3">MIN('[1]Section I'!$C$20:$C$40)</definedName>
    <definedName name="iYear">MIN('Section I'!$C$20:$C$40)</definedName>
    <definedName name="_xlnm.Print_Area" localSheetId="4">Characteristics!$A$1:$S$58</definedName>
    <definedName name="_xlnm.Print_Area" localSheetId="6">Definitions!$A$1:$L$130</definedName>
    <definedName name="_xlnm.Print_Area" localSheetId="7">Documentation!$A$1:$AD$16</definedName>
    <definedName name="_xlnm.Print_Area" localSheetId="1">Instructions!$A$1:$N$71</definedName>
    <definedName name="_xlnm.Print_Area" localSheetId="0">Introduction!$A$1:$I$37</definedName>
    <definedName name="_xlnm.Print_Area" localSheetId="2">'Section I'!$A$1:$V$129</definedName>
    <definedName name="_xlnm.Print_Area" localSheetId="5">'Section I Checklist'!$A$1:$J$29</definedName>
    <definedName name="_xlnm.Print_Titles" localSheetId="2">'Section I'!$5:$7</definedName>
    <definedName name="section1" localSheetId="7">#REF!</definedName>
    <definedName name="section1">#REF!</definedName>
    <definedName name="section2" localSheetId="7">#REF!</definedName>
    <definedName name="section2">#REF!</definedName>
    <definedName name="section3" localSheetId="7">#REF!</definedName>
    <definedName name="section3">#REF!</definedName>
    <definedName name="Text1" localSheetId="5">'Section I Checklist'!$H$14</definedName>
    <definedName name="Text2" localSheetId="5">'Section I Checklist'!$H$15</definedName>
    <definedName name="Text3" localSheetId="5">'Section I Checklist'!$H$16</definedName>
    <definedName name="Text4" localSheetId="5">'Section I Checklist'!$H$19</definedName>
    <definedName name="Text5" localSheetId="5">'Section I Checklist'!$H$11</definedName>
    <definedName name="Text6" localSheetId="5">'Section I Checklist'!$H$12</definedName>
    <definedName name="Text7" localSheetId="5">'Section I Checklist'!#REF!</definedName>
    <definedName name="Text8" localSheetId="5">'Section I Checklist'!#REF!</definedName>
    <definedName name="Type" localSheetId="7">#REF!</definedName>
    <definedName name="Type">#REF!</definedName>
  </definedNames>
  <calcPr calcId="152511"/>
</workbook>
</file>

<file path=xl/calcChain.xml><?xml version="1.0" encoding="utf-8"?>
<calcChain xmlns="http://schemas.openxmlformats.org/spreadsheetml/2006/main">
  <c r="J14" i="30" l="1"/>
  <c r="I14" i="30"/>
  <c r="J34" i="30"/>
  <c r="I34" i="30"/>
  <c r="J24" i="30"/>
  <c r="I24" i="30"/>
  <c r="H26" i="30"/>
  <c r="H36" i="30"/>
  <c r="L23" i="30"/>
  <c r="K23" i="30"/>
  <c r="L33" i="30"/>
  <c r="K33" i="30"/>
  <c r="N32" i="30"/>
  <c r="M32" i="30"/>
  <c r="N22" i="30"/>
  <c r="M22" i="30"/>
  <c r="P21" i="30"/>
  <c r="O21" i="30"/>
  <c r="O31" i="30"/>
  <c r="P31" i="30"/>
  <c r="R30" i="30"/>
  <c r="Q30" i="30"/>
  <c r="R20" i="30"/>
  <c r="Q20" i="30"/>
  <c r="T19" i="30"/>
  <c r="S19" i="30"/>
  <c r="T29" i="30"/>
  <c r="S29" i="30"/>
  <c r="G37" i="30"/>
  <c r="G27" i="30"/>
  <c r="G17" i="30"/>
  <c r="H16" i="30"/>
  <c r="L13" i="30"/>
  <c r="K13" i="30"/>
  <c r="N12" i="30"/>
  <c r="M12" i="30"/>
  <c r="P11" i="30"/>
  <c r="O11" i="30"/>
  <c r="R10" i="30"/>
  <c r="O10" i="30"/>
  <c r="Q10" i="30"/>
  <c r="T9" i="30"/>
  <c r="S9" i="30"/>
  <c r="H45" i="30"/>
  <c r="H55" i="30"/>
  <c r="H75" i="30"/>
  <c r="H85" i="30"/>
  <c r="H95" i="30"/>
  <c r="H105" i="30"/>
  <c r="H112" i="30"/>
  <c r="H118" i="30"/>
  <c r="G120" i="30"/>
  <c r="G107" i="30"/>
  <c r="G97" i="30"/>
  <c r="G87" i="30"/>
  <c r="G77" i="30"/>
  <c r="G67" i="30"/>
  <c r="G57" i="30"/>
  <c r="G47" i="30"/>
  <c r="H119" i="30"/>
  <c r="H113" i="30"/>
  <c r="H106" i="30"/>
  <c r="H96" i="30"/>
  <c r="H86" i="30"/>
  <c r="H76" i="30"/>
  <c r="H66" i="30"/>
  <c r="H56" i="30"/>
  <c r="H46" i="30"/>
  <c r="J117" i="30"/>
  <c r="J104" i="30"/>
  <c r="J94" i="30"/>
  <c r="J84" i="30"/>
  <c r="J74" i="30"/>
  <c r="J54" i="30"/>
  <c r="J44" i="30"/>
  <c r="I117" i="30"/>
  <c r="I104" i="30"/>
  <c r="I94" i="30"/>
  <c r="I84" i="30"/>
  <c r="I74" i="30"/>
  <c r="I54" i="30"/>
  <c r="I44" i="30"/>
  <c r="L116" i="30"/>
  <c r="L103" i="30"/>
  <c r="L93" i="30"/>
  <c r="L83" i="30"/>
  <c r="L53" i="30"/>
  <c r="L43" i="30"/>
  <c r="K116" i="30"/>
  <c r="K103" i="30"/>
  <c r="K93" i="30"/>
  <c r="K83" i="30"/>
  <c r="K73" i="30"/>
  <c r="K53" i="30"/>
  <c r="K43" i="30"/>
  <c r="N115" i="30"/>
  <c r="N102" i="30"/>
  <c r="N82" i="30"/>
  <c r="N52" i="30"/>
  <c r="N42" i="30"/>
  <c r="M115" i="30"/>
  <c r="M102" i="30"/>
  <c r="M92" i="30"/>
  <c r="M82" i="30"/>
  <c r="M72" i="30"/>
  <c r="M62" i="30"/>
  <c r="M52" i="30"/>
  <c r="M42" i="30"/>
  <c r="P101" i="30"/>
  <c r="P81" i="30"/>
  <c r="P61" i="30"/>
  <c r="P51" i="30"/>
  <c r="P41" i="30"/>
  <c r="O101" i="30"/>
  <c r="O91" i="30"/>
  <c r="O81" i="30"/>
  <c r="O71" i="30"/>
  <c r="O61" i="30"/>
  <c r="O51" i="30"/>
  <c r="O41" i="30"/>
  <c r="R100" i="30"/>
  <c r="R80" i="30"/>
  <c r="R40" i="30"/>
  <c r="Q100" i="30"/>
  <c r="Q90" i="30"/>
  <c r="Q80" i="30"/>
  <c r="Q70" i="30"/>
  <c r="Q60" i="30"/>
  <c r="Q50" i="30"/>
  <c r="Q40" i="30"/>
  <c r="T99" i="30"/>
  <c r="T79" i="30"/>
  <c r="S99" i="30"/>
  <c r="S89" i="30"/>
  <c r="S79" i="30"/>
  <c r="S69" i="30"/>
  <c r="S59" i="30"/>
  <c r="S49" i="30"/>
  <c r="S39" i="30"/>
  <c r="T38" i="30"/>
  <c r="T98" i="30"/>
  <c r="V98" i="30"/>
  <c r="V78" i="30"/>
  <c r="U98" i="30"/>
  <c r="U88" i="30"/>
  <c r="U78" i="30"/>
  <c r="U68" i="30"/>
  <c r="U58" i="30"/>
  <c r="U48" i="30"/>
  <c r="U38" i="30"/>
  <c r="V28" i="30"/>
  <c r="U28" i="30"/>
  <c r="V18" i="30"/>
  <c r="U18" i="30"/>
  <c r="V8" i="30"/>
  <c r="U8" i="30"/>
  <c r="K28" i="30" l="1"/>
  <c r="L28" i="30"/>
  <c r="K110" i="30" l="1"/>
  <c r="A120" i="30" l="1"/>
  <c r="A119" i="30"/>
  <c r="F120" i="30"/>
  <c r="G119" i="30"/>
  <c r="F119" i="30"/>
  <c r="E119" i="30"/>
  <c r="D119" i="30"/>
  <c r="A118" i="30"/>
  <c r="A117" i="30"/>
  <c r="A116" i="30"/>
  <c r="A115" i="30"/>
  <c r="A114" i="30"/>
  <c r="A113" i="30"/>
  <c r="A112" i="30"/>
  <c r="A111" i="30"/>
  <c r="A110" i="30"/>
  <c r="A109" i="30"/>
  <c r="G8" i="30" l="1"/>
  <c r="G118" i="30"/>
  <c r="H117" i="30"/>
  <c r="G117" i="30"/>
  <c r="J116" i="30"/>
  <c r="I116" i="30"/>
  <c r="H116" i="30"/>
  <c r="G116" i="30"/>
  <c r="L115" i="30"/>
  <c r="K115" i="30"/>
  <c r="J115" i="30"/>
  <c r="I115" i="30"/>
  <c r="H115" i="30"/>
  <c r="G115" i="30"/>
  <c r="G114" i="30"/>
  <c r="G113" i="30"/>
  <c r="G112" i="30"/>
  <c r="J111" i="30"/>
  <c r="I111" i="30"/>
  <c r="H111" i="30"/>
  <c r="G111" i="30"/>
  <c r="L110" i="30"/>
  <c r="J110" i="30"/>
  <c r="I110" i="30"/>
  <c r="H110" i="30"/>
  <c r="G110" i="30"/>
  <c r="N109" i="30"/>
  <c r="M109" i="30"/>
  <c r="L109" i="30"/>
  <c r="K109" i="30"/>
  <c r="J109" i="30"/>
  <c r="I109" i="30"/>
  <c r="H109" i="30"/>
  <c r="G109" i="30"/>
  <c r="G106" i="30"/>
  <c r="G105" i="30"/>
  <c r="H104" i="30"/>
  <c r="G104" i="30"/>
  <c r="J103" i="30"/>
  <c r="I103" i="30"/>
  <c r="H103" i="30"/>
  <c r="G103" i="30"/>
  <c r="L102" i="30"/>
  <c r="K102" i="30"/>
  <c r="J102" i="30"/>
  <c r="I102" i="30"/>
  <c r="H102" i="30"/>
  <c r="G102" i="30"/>
  <c r="N101" i="30"/>
  <c r="M101" i="30"/>
  <c r="L101" i="30"/>
  <c r="K101" i="30"/>
  <c r="J101" i="30"/>
  <c r="I101" i="30"/>
  <c r="H101" i="30"/>
  <c r="G101" i="30"/>
  <c r="P100" i="30"/>
  <c r="O100" i="30"/>
  <c r="N100" i="30"/>
  <c r="M100" i="30"/>
  <c r="L100" i="30"/>
  <c r="K100" i="30"/>
  <c r="J100" i="30"/>
  <c r="I100" i="30"/>
  <c r="H100" i="30"/>
  <c r="G100" i="30"/>
  <c r="R99" i="30"/>
  <c r="Q99" i="30"/>
  <c r="P99" i="30"/>
  <c r="O99" i="30"/>
  <c r="N99" i="30"/>
  <c r="M99" i="30"/>
  <c r="L99" i="30"/>
  <c r="K99" i="30"/>
  <c r="J99" i="30"/>
  <c r="I99" i="30"/>
  <c r="H99" i="30"/>
  <c r="G99" i="30"/>
  <c r="S98" i="30"/>
  <c r="R98" i="30"/>
  <c r="Q98" i="30"/>
  <c r="P98" i="30"/>
  <c r="O98" i="30"/>
  <c r="N98" i="30"/>
  <c r="M98" i="30"/>
  <c r="L98" i="30"/>
  <c r="K98" i="30"/>
  <c r="J98" i="30"/>
  <c r="I98" i="30"/>
  <c r="H98" i="30"/>
  <c r="G98" i="30"/>
  <c r="G96" i="30"/>
  <c r="G95" i="30"/>
  <c r="H94" i="30"/>
  <c r="G94" i="30"/>
  <c r="J93" i="30"/>
  <c r="I93" i="30"/>
  <c r="H93" i="30"/>
  <c r="G93" i="30"/>
  <c r="L92" i="30"/>
  <c r="K92" i="30"/>
  <c r="J92" i="30"/>
  <c r="I92" i="30"/>
  <c r="H92" i="30"/>
  <c r="G92" i="30"/>
  <c r="N91" i="30"/>
  <c r="M91" i="30"/>
  <c r="L91" i="30"/>
  <c r="K91" i="30"/>
  <c r="J91" i="30"/>
  <c r="I91" i="30"/>
  <c r="H91" i="30"/>
  <c r="G91" i="30"/>
  <c r="P90" i="30"/>
  <c r="O90" i="30"/>
  <c r="N90" i="30"/>
  <c r="M90" i="30"/>
  <c r="L90" i="30"/>
  <c r="K90" i="30"/>
  <c r="J90" i="30"/>
  <c r="I90" i="30"/>
  <c r="H90" i="30"/>
  <c r="G90" i="30"/>
  <c r="R89" i="30"/>
  <c r="Q89" i="30"/>
  <c r="P89" i="30"/>
  <c r="O89" i="30"/>
  <c r="N89" i="30"/>
  <c r="M89" i="30"/>
  <c r="L89" i="30"/>
  <c r="K89" i="30"/>
  <c r="J89" i="30"/>
  <c r="I89" i="30"/>
  <c r="H89" i="30"/>
  <c r="G89" i="30"/>
  <c r="T88" i="30"/>
  <c r="S88" i="30"/>
  <c r="R88" i="30"/>
  <c r="Q88" i="30"/>
  <c r="P88" i="30"/>
  <c r="O88" i="30"/>
  <c r="N88" i="30"/>
  <c r="M88" i="30"/>
  <c r="L88" i="30"/>
  <c r="K88" i="30"/>
  <c r="J88" i="30"/>
  <c r="I88" i="30"/>
  <c r="H88" i="30"/>
  <c r="G88" i="30"/>
  <c r="G86" i="30"/>
  <c r="G85" i="30"/>
  <c r="H84" i="30"/>
  <c r="G84" i="30"/>
  <c r="J83" i="30"/>
  <c r="I83" i="30"/>
  <c r="H83" i="30"/>
  <c r="G83" i="30"/>
  <c r="L82" i="30"/>
  <c r="K82" i="30"/>
  <c r="J82" i="30"/>
  <c r="I82" i="30"/>
  <c r="H82" i="30"/>
  <c r="G82" i="30"/>
  <c r="N81" i="30"/>
  <c r="M81" i="30"/>
  <c r="L81" i="30"/>
  <c r="K81" i="30"/>
  <c r="J81" i="30"/>
  <c r="I81" i="30"/>
  <c r="H81" i="30"/>
  <c r="G81" i="30"/>
  <c r="P80" i="30"/>
  <c r="O80" i="30"/>
  <c r="N80" i="30"/>
  <c r="M80" i="30"/>
  <c r="L80" i="30"/>
  <c r="K80" i="30"/>
  <c r="J80" i="30"/>
  <c r="I80" i="30"/>
  <c r="H80" i="30"/>
  <c r="G80" i="30"/>
  <c r="R79" i="30"/>
  <c r="Q79" i="30"/>
  <c r="P79" i="30"/>
  <c r="O79" i="30"/>
  <c r="N79" i="30"/>
  <c r="M79" i="30"/>
  <c r="L79" i="30"/>
  <c r="K79" i="30"/>
  <c r="J79" i="30"/>
  <c r="I79" i="30"/>
  <c r="H79" i="30"/>
  <c r="G79" i="30"/>
  <c r="T78" i="30"/>
  <c r="S78" i="30"/>
  <c r="R78" i="30"/>
  <c r="Q78" i="30"/>
  <c r="P78" i="30"/>
  <c r="O78" i="30"/>
  <c r="N78" i="30"/>
  <c r="M78" i="30"/>
  <c r="L78" i="30"/>
  <c r="K78" i="30"/>
  <c r="J78" i="30"/>
  <c r="I78" i="30"/>
  <c r="H78" i="30"/>
  <c r="G78" i="30"/>
  <c r="T77" i="30"/>
  <c r="S77" i="30"/>
  <c r="T76" i="30"/>
  <c r="S76" i="30"/>
  <c r="G76" i="30"/>
  <c r="T75" i="30"/>
  <c r="S75" i="30"/>
  <c r="G75" i="30"/>
  <c r="T74" i="30"/>
  <c r="S74" i="30"/>
  <c r="H74" i="30"/>
  <c r="G74" i="30"/>
  <c r="T73" i="30"/>
  <c r="S73" i="30"/>
  <c r="J73" i="30"/>
  <c r="I73" i="30"/>
  <c r="H73" i="30"/>
  <c r="G73" i="30"/>
  <c r="T72" i="30"/>
  <c r="S72" i="30"/>
  <c r="L72" i="30"/>
  <c r="K72" i="30"/>
  <c r="J72" i="30"/>
  <c r="I72" i="30"/>
  <c r="H72" i="30"/>
  <c r="G72" i="30"/>
  <c r="T71" i="30"/>
  <c r="S71" i="30"/>
  <c r="N71" i="30"/>
  <c r="M71" i="30"/>
  <c r="L71" i="30"/>
  <c r="K71" i="30"/>
  <c r="J71" i="30"/>
  <c r="I71" i="30"/>
  <c r="H71" i="30"/>
  <c r="G71" i="30"/>
  <c r="T70" i="30"/>
  <c r="S70" i="30"/>
  <c r="P70" i="30"/>
  <c r="O70" i="30"/>
  <c r="N70" i="30"/>
  <c r="M70" i="30"/>
  <c r="L70" i="30"/>
  <c r="K70" i="30"/>
  <c r="J70" i="30"/>
  <c r="I70" i="30"/>
  <c r="H70" i="30"/>
  <c r="G70" i="30"/>
  <c r="R69" i="30"/>
  <c r="Q69" i="30"/>
  <c r="P69" i="30"/>
  <c r="O69" i="30"/>
  <c r="N69" i="30"/>
  <c r="M69" i="30"/>
  <c r="L69" i="30"/>
  <c r="K69" i="30"/>
  <c r="J69" i="30"/>
  <c r="I69" i="30"/>
  <c r="H69" i="30"/>
  <c r="G69" i="30"/>
  <c r="T68" i="30"/>
  <c r="S68" i="30"/>
  <c r="R68" i="30"/>
  <c r="Q68" i="30"/>
  <c r="P68" i="30"/>
  <c r="O68" i="30"/>
  <c r="N68" i="30"/>
  <c r="M68" i="30"/>
  <c r="L68" i="30"/>
  <c r="K68" i="30"/>
  <c r="J68" i="30"/>
  <c r="I68" i="30"/>
  <c r="H68" i="30"/>
  <c r="G68" i="30"/>
  <c r="G66" i="30"/>
  <c r="H65" i="30"/>
  <c r="G65" i="30"/>
  <c r="J64" i="30"/>
  <c r="I64" i="30"/>
  <c r="H64" i="30"/>
  <c r="G64" i="30"/>
  <c r="J63" i="30"/>
  <c r="I63" i="30"/>
  <c r="H63" i="30"/>
  <c r="G63" i="30"/>
  <c r="L62" i="30"/>
  <c r="K62" i="30"/>
  <c r="J62" i="30"/>
  <c r="I62" i="30"/>
  <c r="H62" i="30"/>
  <c r="G62" i="30"/>
  <c r="N61" i="30"/>
  <c r="M61" i="30"/>
  <c r="L61" i="30"/>
  <c r="K61" i="30"/>
  <c r="J61" i="30"/>
  <c r="I61" i="30"/>
  <c r="H61" i="30"/>
  <c r="G61" i="30"/>
  <c r="P60" i="30"/>
  <c r="O60" i="30"/>
  <c r="N60" i="30"/>
  <c r="M60" i="30"/>
  <c r="L60" i="30"/>
  <c r="K60" i="30"/>
  <c r="J60" i="30"/>
  <c r="I60" i="30"/>
  <c r="H60" i="30"/>
  <c r="G60" i="30"/>
  <c r="R59" i="30"/>
  <c r="Q59" i="30"/>
  <c r="P59" i="30"/>
  <c r="O59" i="30"/>
  <c r="N59" i="30"/>
  <c r="M59" i="30"/>
  <c r="L59" i="30"/>
  <c r="K59" i="30"/>
  <c r="J59" i="30"/>
  <c r="I59" i="30"/>
  <c r="H59" i="30"/>
  <c r="G59" i="30"/>
  <c r="T58" i="30"/>
  <c r="S58" i="30"/>
  <c r="R58" i="30"/>
  <c r="Q58" i="30"/>
  <c r="P58" i="30"/>
  <c r="O58" i="30"/>
  <c r="N58" i="30"/>
  <c r="M58" i="30"/>
  <c r="L58" i="30"/>
  <c r="K58" i="30"/>
  <c r="J58" i="30"/>
  <c r="I58" i="30"/>
  <c r="H58" i="30"/>
  <c r="G58" i="30"/>
  <c r="G56" i="30"/>
  <c r="G55" i="30"/>
  <c r="H54" i="30"/>
  <c r="G54" i="30"/>
  <c r="J53" i="30"/>
  <c r="I53" i="30"/>
  <c r="H53" i="30"/>
  <c r="G53" i="30"/>
  <c r="L52" i="30"/>
  <c r="K52" i="30"/>
  <c r="J52" i="30"/>
  <c r="I52" i="30"/>
  <c r="H52" i="30"/>
  <c r="G52" i="30"/>
  <c r="N51" i="30"/>
  <c r="M51" i="30"/>
  <c r="L51" i="30"/>
  <c r="K51" i="30"/>
  <c r="J51" i="30"/>
  <c r="I51" i="30"/>
  <c r="H51" i="30"/>
  <c r="G51" i="30"/>
  <c r="P50" i="30"/>
  <c r="O50" i="30"/>
  <c r="N50" i="30"/>
  <c r="M50" i="30"/>
  <c r="L50" i="30"/>
  <c r="K50" i="30"/>
  <c r="J50" i="30"/>
  <c r="I50" i="30"/>
  <c r="H50" i="30"/>
  <c r="G50" i="30"/>
  <c r="R49" i="30"/>
  <c r="Q49" i="30"/>
  <c r="P49" i="30"/>
  <c r="O49" i="30"/>
  <c r="N49" i="30"/>
  <c r="M49" i="30"/>
  <c r="L49" i="30"/>
  <c r="K49" i="30"/>
  <c r="J49" i="30"/>
  <c r="I49" i="30"/>
  <c r="H49" i="30"/>
  <c r="G49" i="30"/>
  <c r="T48" i="30"/>
  <c r="S48" i="30"/>
  <c r="R48" i="30"/>
  <c r="Q48" i="30"/>
  <c r="P48" i="30"/>
  <c r="O48" i="30"/>
  <c r="N48" i="30"/>
  <c r="M48" i="30"/>
  <c r="L48" i="30"/>
  <c r="K48" i="30"/>
  <c r="J48" i="30"/>
  <c r="I48" i="30"/>
  <c r="H48" i="30"/>
  <c r="G48" i="30"/>
  <c r="G46" i="30"/>
  <c r="G45" i="30"/>
  <c r="H44" i="30"/>
  <c r="G44" i="30"/>
  <c r="J43" i="30"/>
  <c r="I43" i="30"/>
  <c r="H43" i="30"/>
  <c r="G43" i="30"/>
  <c r="L42" i="30"/>
  <c r="K42" i="30"/>
  <c r="J42" i="30"/>
  <c r="I42" i="30"/>
  <c r="H42" i="30"/>
  <c r="G42" i="30"/>
  <c r="N41" i="30"/>
  <c r="M41" i="30"/>
  <c r="L41" i="30"/>
  <c r="K41" i="30"/>
  <c r="J41" i="30"/>
  <c r="I41" i="30"/>
  <c r="H41" i="30"/>
  <c r="G41" i="30"/>
  <c r="P40" i="30"/>
  <c r="O40" i="30"/>
  <c r="N40" i="30"/>
  <c r="M40" i="30"/>
  <c r="L40" i="30"/>
  <c r="K40" i="30"/>
  <c r="J40" i="30"/>
  <c r="I40" i="30"/>
  <c r="H40" i="30"/>
  <c r="G40" i="30"/>
  <c r="R39" i="30"/>
  <c r="Q39" i="30"/>
  <c r="P39" i="30"/>
  <c r="O39" i="30"/>
  <c r="N39" i="30"/>
  <c r="M39" i="30"/>
  <c r="L39" i="30"/>
  <c r="K39" i="30"/>
  <c r="J39" i="30"/>
  <c r="I39" i="30"/>
  <c r="H39" i="30"/>
  <c r="G39" i="30"/>
  <c r="S38" i="30"/>
  <c r="R38" i="30"/>
  <c r="Q38" i="30"/>
  <c r="P38" i="30"/>
  <c r="O38" i="30"/>
  <c r="N38" i="30"/>
  <c r="M38" i="30"/>
  <c r="L38" i="30"/>
  <c r="K38" i="30"/>
  <c r="J38" i="30"/>
  <c r="I38" i="30"/>
  <c r="H38" i="30"/>
  <c r="G38" i="30"/>
  <c r="G36" i="30"/>
  <c r="H35" i="30"/>
  <c r="G35" i="30"/>
  <c r="H34" i="30"/>
  <c r="G34" i="30"/>
  <c r="J33" i="30"/>
  <c r="I33" i="30"/>
  <c r="H33" i="30"/>
  <c r="G33" i="30"/>
  <c r="L32" i="30"/>
  <c r="K32" i="30"/>
  <c r="J32" i="30"/>
  <c r="I32" i="30"/>
  <c r="H32" i="30"/>
  <c r="G32" i="30"/>
  <c r="N31" i="30"/>
  <c r="M31" i="30"/>
  <c r="L31" i="30"/>
  <c r="K31" i="30"/>
  <c r="J31" i="30"/>
  <c r="I31" i="30"/>
  <c r="H31" i="30"/>
  <c r="G31" i="30"/>
  <c r="P30" i="30"/>
  <c r="O30" i="30"/>
  <c r="N30" i="30"/>
  <c r="M30" i="30"/>
  <c r="L30" i="30"/>
  <c r="K30" i="30"/>
  <c r="J30" i="30"/>
  <c r="I30" i="30"/>
  <c r="H30" i="30"/>
  <c r="G30" i="30"/>
  <c r="R29" i="30"/>
  <c r="Q29" i="30"/>
  <c r="P29" i="30"/>
  <c r="O29" i="30"/>
  <c r="N29" i="30"/>
  <c r="M29" i="30"/>
  <c r="L29" i="30"/>
  <c r="K29" i="30"/>
  <c r="J29" i="30"/>
  <c r="I29" i="30"/>
  <c r="H29" i="30"/>
  <c r="G29" i="30"/>
  <c r="T28" i="30"/>
  <c r="S28" i="30"/>
  <c r="R28" i="30"/>
  <c r="Q28" i="30"/>
  <c r="P28" i="30"/>
  <c r="O28" i="30"/>
  <c r="N28" i="30"/>
  <c r="M28" i="30"/>
  <c r="J28" i="30"/>
  <c r="I28" i="30"/>
  <c r="H28" i="30"/>
  <c r="G28" i="30"/>
  <c r="G26" i="30"/>
  <c r="H25" i="30"/>
  <c r="G25" i="30"/>
  <c r="H24" i="30"/>
  <c r="G24" i="30"/>
  <c r="J23" i="30"/>
  <c r="I23" i="30"/>
  <c r="H23" i="30"/>
  <c r="G23" i="30"/>
  <c r="L22" i="30"/>
  <c r="K22" i="30"/>
  <c r="J22" i="30"/>
  <c r="I22" i="30"/>
  <c r="H22" i="30"/>
  <c r="G22" i="30"/>
  <c r="N21" i="30"/>
  <c r="M21" i="30"/>
  <c r="L21" i="30"/>
  <c r="K21" i="30"/>
  <c r="J21" i="30"/>
  <c r="I21" i="30"/>
  <c r="H21" i="30"/>
  <c r="G21" i="30"/>
  <c r="P20" i="30"/>
  <c r="O20" i="30"/>
  <c r="N20" i="30"/>
  <c r="M20" i="30"/>
  <c r="L20" i="30"/>
  <c r="K20" i="30"/>
  <c r="J20" i="30"/>
  <c r="I20" i="30"/>
  <c r="H20" i="30"/>
  <c r="G20" i="30"/>
  <c r="R19" i="30"/>
  <c r="Q19" i="30"/>
  <c r="P19" i="30"/>
  <c r="O19" i="30"/>
  <c r="N19" i="30"/>
  <c r="M19" i="30"/>
  <c r="L19" i="30"/>
  <c r="K19" i="30"/>
  <c r="J19" i="30"/>
  <c r="I19" i="30"/>
  <c r="H19" i="30"/>
  <c r="G19" i="30"/>
  <c r="T18" i="30"/>
  <c r="S18" i="30"/>
  <c r="R18" i="30"/>
  <c r="Q18" i="30"/>
  <c r="P18" i="30"/>
  <c r="O18" i="30"/>
  <c r="N18" i="30"/>
  <c r="M18" i="30"/>
  <c r="L18" i="30"/>
  <c r="K18" i="30"/>
  <c r="J18" i="30"/>
  <c r="I18" i="30"/>
  <c r="H18" i="30"/>
  <c r="G18" i="30"/>
  <c r="G16" i="30"/>
  <c r="H15" i="30"/>
  <c r="G15" i="30"/>
  <c r="H14" i="30"/>
  <c r="G14" i="30"/>
  <c r="J13" i="30"/>
  <c r="I13" i="30"/>
  <c r="H13" i="30"/>
  <c r="G13" i="30"/>
  <c r="L12" i="30"/>
  <c r="K12" i="30"/>
  <c r="J12" i="30"/>
  <c r="I12" i="30"/>
  <c r="H12" i="30"/>
  <c r="G12" i="30"/>
  <c r="N11" i="30"/>
  <c r="M11" i="30"/>
  <c r="L11" i="30"/>
  <c r="K11" i="30"/>
  <c r="J11" i="30"/>
  <c r="I11" i="30"/>
  <c r="H11" i="30"/>
  <c r="G11" i="30"/>
  <c r="P10" i="30"/>
  <c r="N10" i="30"/>
  <c r="M10" i="30"/>
  <c r="L10" i="30"/>
  <c r="K10" i="30"/>
  <c r="J10" i="30"/>
  <c r="I10" i="30"/>
  <c r="H10" i="30"/>
  <c r="G10" i="30"/>
  <c r="R9" i="30"/>
  <c r="Q9" i="30"/>
  <c r="P9" i="30"/>
  <c r="O9" i="30"/>
  <c r="N9" i="30"/>
  <c r="M9" i="30"/>
  <c r="L9" i="30"/>
  <c r="K9" i="30"/>
  <c r="J9" i="30"/>
  <c r="I9" i="30"/>
  <c r="H9" i="30"/>
  <c r="G9" i="30"/>
  <c r="T8" i="30"/>
  <c r="S8" i="30"/>
  <c r="R8" i="30"/>
  <c r="Q8" i="30"/>
  <c r="P8" i="30"/>
  <c r="O8" i="30"/>
  <c r="N8" i="30"/>
  <c r="M8" i="30"/>
  <c r="L8" i="30"/>
  <c r="K8" i="30"/>
  <c r="J8" i="30"/>
  <c r="I8" i="30"/>
  <c r="H8" i="30"/>
  <c r="E9" i="30" l="1"/>
  <c r="F9" i="30"/>
  <c r="D93" i="30"/>
  <c r="D8" i="30"/>
  <c r="D9" i="30"/>
  <c r="D18" i="30"/>
  <c r="D19" i="30"/>
  <c r="D11" i="30"/>
  <c r="F118" i="30"/>
  <c r="E118" i="30"/>
  <c r="D118" i="30"/>
  <c r="F117" i="30"/>
  <c r="E117" i="30"/>
  <c r="D117" i="30"/>
  <c r="F116" i="30"/>
  <c r="E116" i="30"/>
  <c r="D116" i="30"/>
  <c r="F115" i="30"/>
  <c r="E115" i="30"/>
  <c r="D115" i="30"/>
  <c r="F114" i="30"/>
  <c r="E114" i="30"/>
  <c r="F113" i="30"/>
  <c r="E113" i="30"/>
  <c r="D113" i="30"/>
  <c r="F112" i="30"/>
  <c r="E112" i="30"/>
  <c r="D112" i="30"/>
  <c r="F111" i="30"/>
  <c r="E111" i="30"/>
  <c r="D111" i="30"/>
  <c r="F110" i="30"/>
  <c r="E110" i="30"/>
  <c r="D110" i="30"/>
  <c r="F109" i="30"/>
  <c r="E109" i="30"/>
  <c r="D109" i="30"/>
  <c r="F107" i="30"/>
  <c r="F106" i="30"/>
  <c r="E106" i="30"/>
  <c r="D106" i="30"/>
  <c r="F105" i="30"/>
  <c r="E105" i="30"/>
  <c r="D105" i="30"/>
  <c r="F104" i="30"/>
  <c r="E104" i="30"/>
  <c r="D104" i="30"/>
  <c r="F103" i="30"/>
  <c r="E103" i="30"/>
  <c r="D103" i="30"/>
  <c r="F102" i="30"/>
  <c r="E102" i="30"/>
  <c r="D102" i="30"/>
  <c r="F101" i="30"/>
  <c r="E101" i="30"/>
  <c r="D101" i="30"/>
  <c r="F100" i="30"/>
  <c r="E100" i="30"/>
  <c r="D100" i="30"/>
  <c r="F99" i="30"/>
  <c r="E99" i="30"/>
  <c r="D99" i="30"/>
  <c r="F98" i="30"/>
  <c r="E98" i="30"/>
  <c r="D98" i="30"/>
  <c r="F97" i="30"/>
  <c r="F96" i="30"/>
  <c r="E96" i="30"/>
  <c r="D96" i="30"/>
  <c r="F95" i="30"/>
  <c r="E95" i="30"/>
  <c r="D95" i="30"/>
  <c r="F94" i="30"/>
  <c r="E94" i="30"/>
  <c r="D94" i="30"/>
  <c r="F93" i="30"/>
  <c r="E93" i="30"/>
  <c r="F92" i="30"/>
  <c r="E92" i="30"/>
  <c r="D92" i="30"/>
  <c r="F91" i="30"/>
  <c r="E91" i="30"/>
  <c r="D91" i="30"/>
  <c r="F90" i="30"/>
  <c r="E90" i="30"/>
  <c r="D90" i="30"/>
  <c r="F89" i="30"/>
  <c r="E89" i="30"/>
  <c r="D89" i="30"/>
  <c r="F88" i="30"/>
  <c r="E88" i="30"/>
  <c r="D88" i="30"/>
  <c r="F87" i="30"/>
  <c r="F86" i="30"/>
  <c r="E86" i="30"/>
  <c r="D86" i="30"/>
  <c r="F85" i="30"/>
  <c r="E85" i="30"/>
  <c r="D85" i="30"/>
  <c r="F84" i="30"/>
  <c r="E84" i="30"/>
  <c r="D84" i="30"/>
  <c r="F83" i="30"/>
  <c r="E83" i="30"/>
  <c r="D83" i="30"/>
  <c r="F82" i="30"/>
  <c r="E82" i="30"/>
  <c r="D82" i="30"/>
  <c r="F81" i="30"/>
  <c r="E81" i="30"/>
  <c r="D81" i="30"/>
  <c r="F80" i="30"/>
  <c r="E80" i="30"/>
  <c r="D80" i="30"/>
  <c r="F79" i="30"/>
  <c r="E79" i="30"/>
  <c r="D79" i="30"/>
  <c r="F78" i="30"/>
  <c r="E78" i="30"/>
  <c r="D78" i="30"/>
  <c r="F77" i="30"/>
  <c r="F76" i="30"/>
  <c r="E76" i="30"/>
  <c r="D76" i="30"/>
  <c r="F75" i="30"/>
  <c r="E75" i="30"/>
  <c r="D75" i="30"/>
  <c r="F74" i="30"/>
  <c r="E74" i="30"/>
  <c r="D74" i="30"/>
  <c r="F73" i="30"/>
  <c r="E73" i="30"/>
  <c r="D73" i="30"/>
  <c r="F72" i="30"/>
  <c r="E72" i="30"/>
  <c r="D72" i="30"/>
  <c r="F71" i="30"/>
  <c r="E71" i="30"/>
  <c r="D71" i="30"/>
  <c r="F70" i="30"/>
  <c r="E70" i="30"/>
  <c r="D70" i="30"/>
  <c r="F69" i="30"/>
  <c r="E69" i="30"/>
  <c r="D69" i="30"/>
  <c r="F68" i="30"/>
  <c r="E68" i="30"/>
  <c r="D68" i="30"/>
  <c r="F67" i="30"/>
  <c r="F66" i="30"/>
  <c r="E66" i="30"/>
  <c r="D66" i="30"/>
  <c r="F65" i="30"/>
  <c r="E65" i="30"/>
  <c r="D65" i="30"/>
  <c r="F64" i="30"/>
  <c r="E64" i="30"/>
  <c r="D64" i="30"/>
  <c r="F63" i="30"/>
  <c r="E63" i="30"/>
  <c r="D63" i="30"/>
  <c r="F62" i="30"/>
  <c r="E62" i="30"/>
  <c r="D62" i="30"/>
  <c r="F61" i="30"/>
  <c r="E61" i="30"/>
  <c r="D61" i="30"/>
  <c r="F60" i="30"/>
  <c r="E60" i="30"/>
  <c r="D60" i="30"/>
  <c r="F59" i="30"/>
  <c r="E59" i="30"/>
  <c r="D59" i="30"/>
  <c r="F58" i="30"/>
  <c r="E58" i="30"/>
  <c r="D58" i="30"/>
  <c r="F57" i="30"/>
  <c r="F56" i="30"/>
  <c r="E56" i="30"/>
  <c r="D56" i="30"/>
  <c r="F55" i="30"/>
  <c r="E55" i="30"/>
  <c r="D55" i="30"/>
  <c r="F54" i="30"/>
  <c r="E54" i="30"/>
  <c r="D54" i="30"/>
  <c r="F53" i="30"/>
  <c r="E53" i="30"/>
  <c r="D53" i="30"/>
  <c r="F52" i="30"/>
  <c r="E52" i="30"/>
  <c r="D52" i="30"/>
  <c r="F51" i="30"/>
  <c r="E51" i="30"/>
  <c r="D51" i="30"/>
  <c r="F50" i="30"/>
  <c r="E50" i="30"/>
  <c r="D50" i="30"/>
  <c r="F49" i="30"/>
  <c r="E49" i="30"/>
  <c r="D49" i="30"/>
  <c r="F48" i="30"/>
  <c r="E48" i="30"/>
  <c r="D48" i="30"/>
  <c r="F47" i="30"/>
  <c r="F46" i="30"/>
  <c r="E46" i="30"/>
  <c r="D46" i="30"/>
  <c r="F45" i="30"/>
  <c r="E45" i="30"/>
  <c r="D45" i="30"/>
  <c r="F44" i="30"/>
  <c r="E44" i="30"/>
  <c r="D44" i="30"/>
  <c r="F43" i="30"/>
  <c r="E43" i="30"/>
  <c r="D43" i="30"/>
  <c r="F42" i="30"/>
  <c r="E42" i="30"/>
  <c r="D42" i="30"/>
  <c r="F41" i="30"/>
  <c r="E41" i="30"/>
  <c r="D41" i="30"/>
  <c r="F40" i="30"/>
  <c r="E40" i="30"/>
  <c r="D40" i="30"/>
  <c r="F39" i="30"/>
  <c r="E39" i="30"/>
  <c r="D39" i="30"/>
  <c r="F38" i="30"/>
  <c r="E38" i="30"/>
  <c r="D38" i="30"/>
  <c r="F37" i="30"/>
  <c r="F36" i="30"/>
  <c r="E36" i="30"/>
  <c r="D36" i="30"/>
  <c r="F35" i="30"/>
  <c r="E35" i="30"/>
  <c r="D35" i="30"/>
  <c r="F34" i="30"/>
  <c r="E34" i="30"/>
  <c r="D34" i="30"/>
  <c r="F33" i="30"/>
  <c r="E33" i="30"/>
  <c r="D33" i="30"/>
  <c r="F32" i="30"/>
  <c r="E32" i="30"/>
  <c r="D32" i="30"/>
  <c r="F31" i="30"/>
  <c r="E31" i="30"/>
  <c r="D31" i="30"/>
  <c r="F30" i="30"/>
  <c r="E30" i="30"/>
  <c r="D30" i="30"/>
  <c r="F29" i="30"/>
  <c r="E29" i="30"/>
  <c r="D29" i="30"/>
  <c r="F28" i="30"/>
  <c r="E28" i="30"/>
  <c r="D28" i="30"/>
  <c r="F27" i="30"/>
  <c r="F26" i="30"/>
  <c r="E26" i="30"/>
  <c r="D26" i="30"/>
  <c r="F25" i="30"/>
  <c r="E25" i="30"/>
  <c r="D25" i="30"/>
  <c r="F24" i="30"/>
  <c r="E24" i="30"/>
  <c r="D24" i="30"/>
  <c r="F23" i="30"/>
  <c r="E23" i="30"/>
  <c r="D23" i="30"/>
  <c r="F22" i="30"/>
  <c r="E22" i="30"/>
  <c r="D22" i="30"/>
  <c r="F21" i="30"/>
  <c r="E21" i="30"/>
  <c r="D21" i="30"/>
  <c r="F20" i="30"/>
  <c r="E20" i="30"/>
  <c r="D20" i="30"/>
  <c r="F19" i="30"/>
  <c r="E19" i="30"/>
  <c r="F18" i="30"/>
  <c r="E18" i="30"/>
  <c r="F17" i="30"/>
  <c r="F16" i="30"/>
  <c r="E16" i="30"/>
  <c r="D16" i="30"/>
  <c r="F15" i="30"/>
  <c r="E15" i="30"/>
  <c r="D15" i="30"/>
  <c r="F14" i="30"/>
  <c r="E14" i="30"/>
  <c r="D14" i="30"/>
  <c r="F13" i="30"/>
  <c r="E13" i="30"/>
  <c r="D13" i="30"/>
  <c r="F12" i="30"/>
  <c r="E12" i="30"/>
  <c r="D12" i="30"/>
  <c r="F11" i="30"/>
  <c r="E11" i="30"/>
  <c r="F10" i="30"/>
  <c r="E10" i="30"/>
  <c r="D10" i="30"/>
  <c r="F8" i="30"/>
  <c r="E8" i="30"/>
  <c r="A9" i="30"/>
  <c r="M31" i="49" l="1"/>
  <c r="J31" i="49"/>
  <c r="M16" i="49"/>
  <c r="J16" i="49"/>
  <c r="A10" i="30" l="1"/>
  <c r="A11" i="30"/>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51" i="30"/>
  <c r="A52" i="30"/>
  <c r="A53" i="30"/>
  <c r="A54" i="30"/>
  <c r="A55" i="30"/>
  <c r="A56" i="30"/>
  <c r="A57" i="30"/>
  <c r="A58" i="30"/>
  <c r="A59" i="30"/>
  <c r="A60" i="30"/>
  <c r="A61" i="30"/>
  <c r="A62" i="30"/>
  <c r="A63" i="30"/>
  <c r="A64" i="30"/>
  <c r="A65" i="30"/>
  <c r="A66" i="30"/>
  <c r="A67" i="30"/>
  <c r="A68" i="30"/>
  <c r="A69" i="30"/>
  <c r="A70" i="30"/>
  <c r="A71" i="30"/>
  <c r="A72" i="30"/>
  <c r="A73" i="30"/>
  <c r="A74" i="30"/>
  <c r="A75" i="30"/>
  <c r="A76" i="30"/>
  <c r="A77" i="30"/>
  <c r="A78" i="30"/>
  <c r="A79" i="30"/>
  <c r="A80" i="30"/>
  <c r="A81" i="30"/>
  <c r="A82" i="30"/>
  <c r="A83" i="30"/>
  <c r="A84" i="30"/>
  <c r="A85" i="30"/>
  <c r="A86" i="30"/>
  <c r="A87" i="30"/>
  <c r="A88" i="30"/>
  <c r="A89" i="30"/>
  <c r="A90" i="30"/>
  <c r="A91" i="30"/>
  <c r="A92" i="30"/>
  <c r="A93" i="30"/>
  <c r="A94" i="30"/>
  <c r="A95" i="30"/>
  <c r="A96" i="30"/>
  <c r="A97" i="30"/>
  <c r="A98" i="30"/>
  <c r="A99" i="30"/>
  <c r="A100" i="30"/>
  <c r="A101" i="30"/>
  <c r="A102" i="30"/>
  <c r="A103" i="30"/>
  <c r="A104" i="30"/>
  <c r="A105" i="30"/>
  <c r="A106" i="30"/>
  <c r="A107" i="30"/>
</calcChain>
</file>

<file path=xl/comments1.xml><?xml version="1.0" encoding="utf-8"?>
<comments xmlns="http://schemas.openxmlformats.org/spreadsheetml/2006/main">
  <authors>
    <author>Miaomiao Rimmer</author>
    <author>Blake Cannon</author>
    <author>aliu</author>
    <author>Sandra Whalen</author>
    <author>c-idea</author>
    <author>Windows User</author>
  </authors>
  <commentList>
    <comment ref="L4" authorId="0" shapeId="0">
      <text>
        <r>
          <rPr>
            <sz val="8"/>
            <color indexed="81"/>
            <rFont val="Tahoma"/>
            <family val="2"/>
          </rPr>
          <t xml:space="preserve">
</t>
        </r>
      </text>
    </comment>
    <comment ref="G6" authorId="1" shapeId="0">
      <text>
        <r>
          <rPr>
            <b/>
            <sz val="8"/>
            <color indexed="81"/>
            <rFont val="Tahoma"/>
            <family val="2"/>
          </rPr>
          <t>% Continued</t>
        </r>
      </text>
    </comment>
    <comment ref="H6" authorId="1" shapeId="0">
      <text>
        <r>
          <rPr>
            <b/>
            <sz val="8"/>
            <color indexed="81"/>
            <rFont val="Tahoma"/>
            <family val="2"/>
          </rPr>
          <t>% Continued</t>
        </r>
      </text>
    </comment>
    <comment ref="I6" authorId="1" shapeId="0">
      <text>
        <r>
          <rPr>
            <b/>
            <sz val="8"/>
            <color indexed="81"/>
            <rFont val="Tahoma"/>
            <family val="2"/>
          </rPr>
          <t>%Graduated</t>
        </r>
        <r>
          <rPr>
            <sz val="8"/>
            <color indexed="81"/>
            <rFont val="Tahoma"/>
            <family val="2"/>
          </rPr>
          <t xml:space="preserve">
</t>
        </r>
      </text>
    </comment>
    <comment ref="J6" authorId="1" shapeId="0">
      <text>
        <r>
          <rPr>
            <b/>
            <sz val="8"/>
            <color indexed="81"/>
            <rFont val="Tahoma"/>
            <family val="2"/>
          </rPr>
          <t>% Continued</t>
        </r>
      </text>
    </comment>
    <comment ref="K6" authorId="1" shapeId="0">
      <text>
        <r>
          <rPr>
            <b/>
            <sz val="8"/>
            <color indexed="81"/>
            <rFont val="Tahoma"/>
            <family val="2"/>
          </rPr>
          <t>%Graduated</t>
        </r>
        <r>
          <rPr>
            <sz val="8"/>
            <color indexed="81"/>
            <rFont val="Tahoma"/>
            <family val="2"/>
          </rPr>
          <t xml:space="preserve">
</t>
        </r>
      </text>
    </comment>
    <comment ref="L6" authorId="1" shapeId="0">
      <text>
        <r>
          <rPr>
            <b/>
            <sz val="8"/>
            <color indexed="81"/>
            <rFont val="Tahoma"/>
            <family val="2"/>
          </rPr>
          <t>% Continued</t>
        </r>
      </text>
    </comment>
    <comment ref="M6" authorId="1" shapeId="0">
      <text>
        <r>
          <rPr>
            <b/>
            <sz val="8"/>
            <color indexed="81"/>
            <rFont val="Tahoma"/>
            <family val="2"/>
          </rPr>
          <t>%Graduated</t>
        </r>
        <r>
          <rPr>
            <sz val="8"/>
            <color indexed="81"/>
            <rFont val="Tahoma"/>
            <family val="2"/>
          </rPr>
          <t xml:space="preserve">
</t>
        </r>
      </text>
    </comment>
    <comment ref="N6" authorId="1" shapeId="0">
      <text>
        <r>
          <rPr>
            <b/>
            <sz val="8"/>
            <color indexed="81"/>
            <rFont val="Tahoma"/>
            <family val="2"/>
          </rPr>
          <t>% Continued</t>
        </r>
      </text>
    </comment>
    <comment ref="O6" authorId="1" shapeId="0">
      <text>
        <r>
          <rPr>
            <b/>
            <sz val="8"/>
            <color indexed="81"/>
            <rFont val="Tahoma"/>
            <family val="2"/>
          </rPr>
          <t>%Graduated</t>
        </r>
        <r>
          <rPr>
            <sz val="8"/>
            <color indexed="81"/>
            <rFont val="Tahoma"/>
            <family val="2"/>
          </rPr>
          <t xml:space="preserve">
</t>
        </r>
      </text>
    </comment>
    <comment ref="P6" authorId="1" shapeId="0">
      <text>
        <r>
          <rPr>
            <b/>
            <sz val="8"/>
            <color indexed="81"/>
            <rFont val="Tahoma"/>
            <family val="2"/>
          </rPr>
          <t>% Continued</t>
        </r>
      </text>
    </comment>
    <comment ref="Q6" authorId="1" shapeId="0">
      <text>
        <r>
          <rPr>
            <b/>
            <sz val="8"/>
            <color indexed="81"/>
            <rFont val="Tahoma"/>
            <family val="2"/>
          </rPr>
          <t>%Graduated</t>
        </r>
        <r>
          <rPr>
            <sz val="8"/>
            <color indexed="81"/>
            <rFont val="Tahoma"/>
            <family val="2"/>
          </rPr>
          <t xml:space="preserve">
</t>
        </r>
      </text>
    </comment>
    <comment ref="R6" authorId="1" shapeId="0">
      <text>
        <r>
          <rPr>
            <b/>
            <sz val="8"/>
            <color indexed="81"/>
            <rFont val="Tahoma"/>
            <family val="2"/>
          </rPr>
          <t>% Continued</t>
        </r>
      </text>
    </comment>
    <comment ref="S6" authorId="1" shapeId="0">
      <text>
        <r>
          <rPr>
            <b/>
            <sz val="8"/>
            <color indexed="81"/>
            <rFont val="Tahoma"/>
            <family val="2"/>
          </rPr>
          <t>%Graduated</t>
        </r>
        <r>
          <rPr>
            <sz val="8"/>
            <color indexed="81"/>
            <rFont val="Tahoma"/>
            <family val="2"/>
          </rPr>
          <t xml:space="preserve">
</t>
        </r>
      </text>
    </comment>
    <comment ref="T6" authorId="1" shapeId="0">
      <text>
        <r>
          <rPr>
            <b/>
            <sz val="8"/>
            <color indexed="81"/>
            <rFont val="Tahoma"/>
            <family val="2"/>
          </rPr>
          <t>% Continued</t>
        </r>
      </text>
    </comment>
    <comment ref="U6" authorId="1" shapeId="0">
      <text>
        <r>
          <rPr>
            <b/>
            <sz val="8"/>
            <color indexed="81"/>
            <rFont val="Tahoma"/>
            <family val="2"/>
          </rPr>
          <t>%Graduated</t>
        </r>
        <r>
          <rPr>
            <sz val="8"/>
            <color indexed="81"/>
            <rFont val="Tahoma"/>
            <family val="2"/>
          </rPr>
          <t xml:space="preserve">
</t>
        </r>
      </text>
    </comment>
    <comment ref="V6" authorId="1" shapeId="0">
      <text>
        <r>
          <rPr>
            <b/>
            <sz val="8"/>
            <color indexed="81"/>
            <rFont val="Tahoma"/>
            <family val="2"/>
          </rPr>
          <t>% Continued</t>
        </r>
      </text>
    </comment>
    <comment ref="G7" authorId="2" shapeId="0">
      <text>
        <r>
          <rPr>
            <b/>
            <sz val="8"/>
            <color indexed="81"/>
            <rFont val="Tahoma"/>
            <family val="2"/>
          </rPr>
          <t xml:space="preserve">CSRDE:
Please enter Decimals.  For example: entering  .56888 will display as 56.9%. 
</t>
        </r>
      </text>
    </comment>
    <comment ref="H7" authorId="2" shapeId="0">
      <text>
        <r>
          <rPr>
            <b/>
            <sz val="8"/>
            <color indexed="81"/>
            <rFont val="Tahoma"/>
            <family val="2"/>
          </rPr>
          <t xml:space="preserve">CSRDE:
Please enter Decimals.  For example: entering  .56888 will display as 56.9%. 
</t>
        </r>
      </text>
    </comment>
    <comment ref="I7" authorId="2" shapeId="0">
      <text>
        <r>
          <rPr>
            <b/>
            <sz val="8"/>
            <color indexed="81"/>
            <rFont val="Tahoma"/>
            <family val="2"/>
          </rPr>
          <t xml:space="preserve">CSRDE:
Please enter Decimals.  For example: entering  .56888 will display as 56.9%. 
</t>
        </r>
      </text>
    </comment>
    <comment ref="J7" authorId="2" shapeId="0">
      <text>
        <r>
          <rPr>
            <b/>
            <sz val="8"/>
            <color indexed="81"/>
            <rFont val="Tahoma"/>
            <family val="2"/>
          </rPr>
          <t xml:space="preserve">CSRDE:
Please enter Decimals.  For example: entering  .56888 will display as 56.9%. 
</t>
        </r>
      </text>
    </comment>
    <comment ref="K7" authorId="2" shapeId="0">
      <text>
        <r>
          <rPr>
            <b/>
            <sz val="8"/>
            <color indexed="81"/>
            <rFont val="Tahoma"/>
            <family val="2"/>
          </rPr>
          <t>CSRDE:
Please enter Decimals.  For example: entering  .56888 will display as 56.9%. 
Cumulative figure.  Includes those who graduated in previous years.</t>
        </r>
        <r>
          <rPr>
            <sz val="8"/>
            <color indexed="81"/>
            <rFont val="Tahoma"/>
            <family val="2"/>
          </rPr>
          <t xml:space="preserve">
</t>
        </r>
      </text>
    </comment>
    <comment ref="L7" authorId="2" shapeId="0">
      <text>
        <r>
          <rPr>
            <b/>
            <sz val="8"/>
            <color indexed="81"/>
            <rFont val="Tahoma"/>
            <family val="2"/>
          </rPr>
          <t xml:space="preserve">CSRDE:
Please enter Decimals.  For example: entering  .56888 will display as 56.9%. 
</t>
        </r>
      </text>
    </comment>
    <comment ref="M7" authorId="2" shapeId="0">
      <text>
        <r>
          <rPr>
            <b/>
            <sz val="8"/>
            <color indexed="81"/>
            <rFont val="Tahoma"/>
            <family val="2"/>
          </rPr>
          <t>CSRDE:
Please enter Decimals.  For example: entering  .56888 will display as 56.9%. 
Cumulative figure.  Includes those who graduated in previous years.</t>
        </r>
        <r>
          <rPr>
            <sz val="8"/>
            <color indexed="81"/>
            <rFont val="Tahoma"/>
            <family val="2"/>
          </rPr>
          <t xml:space="preserve">
</t>
        </r>
      </text>
    </comment>
    <comment ref="N7" authorId="2" shapeId="0">
      <text>
        <r>
          <rPr>
            <b/>
            <sz val="8"/>
            <color indexed="81"/>
            <rFont val="Tahoma"/>
            <family val="2"/>
          </rPr>
          <t xml:space="preserve">CSRDE:
Please enter Decimals.  For example: entering  .56888 will display as 56.9%. 
</t>
        </r>
      </text>
    </comment>
    <comment ref="O7" authorId="2" shapeId="0">
      <text>
        <r>
          <rPr>
            <b/>
            <sz val="8"/>
            <color indexed="81"/>
            <rFont val="Tahoma"/>
            <family val="2"/>
          </rPr>
          <t>CSRDE:
Please enter Decimals.  For example: entering  .56888 will display as 56.9%. 
Cumulative figure.  Includes those who graduated in previous years.</t>
        </r>
      </text>
    </comment>
    <comment ref="P7" authorId="2" shapeId="0">
      <text>
        <r>
          <rPr>
            <b/>
            <sz val="8"/>
            <color indexed="81"/>
            <rFont val="Tahoma"/>
            <family val="2"/>
          </rPr>
          <t xml:space="preserve">CSRDE:
Please enter Decimals.  For example: entering  .56888 will display as 56.9%. 
</t>
        </r>
      </text>
    </comment>
    <comment ref="Q7" authorId="2" shapeId="0">
      <text>
        <r>
          <rPr>
            <b/>
            <sz val="8"/>
            <color indexed="81"/>
            <rFont val="Tahoma"/>
            <family val="2"/>
          </rPr>
          <t>CSRDE:
Please enter Decimals.  For example: entering  .56888 will display as 56.9%. 
Cumulative figure.  Includes those who graduated in previous years.</t>
        </r>
        <r>
          <rPr>
            <sz val="8"/>
            <color indexed="81"/>
            <rFont val="Tahoma"/>
            <family val="2"/>
          </rPr>
          <t xml:space="preserve">
</t>
        </r>
      </text>
    </comment>
    <comment ref="R7" authorId="2" shapeId="0">
      <text>
        <r>
          <rPr>
            <b/>
            <sz val="8"/>
            <color indexed="81"/>
            <rFont val="Tahoma"/>
            <family val="2"/>
          </rPr>
          <t xml:space="preserve">CSRDE:
Please enter Decimals.  For example: entering  .56888 will display as 56.9%. 
</t>
        </r>
      </text>
    </comment>
    <comment ref="S7" authorId="2" shapeId="0">
      <text>
        <r>
          <rPr>
            <b/>
            <sz val="8"/>
            <color indexed="81"/>
            <rFont val="Tahoma"/>
            <family val="2"/>
          </rPr>
          <t>CSRDE:
Please enter Decimals.  For example: entering  .56888 will display as 56.9%. 
Cumulative figure.  Includes those who graduated in previous years.</t>
        </r>
      </text>
    </comment>
    <comment ref="T7" authorId="2" shapeId="0">
      <text>
        <r>
          <rPr>
            <b/>
            <sz val="8"/>
            <color indexed="81"/>
            <rFont val="Tahoma"/>
            <family val="2"/>
          </rPr>
          <t xml:space="preserve">CSRDE:
Please enter Decimals.  For example: entering  .56888 will display as 56.9%. </t>
        </r>
        <r>
          <rPr>
            <sz val="8"/>
            <color indexed="81"/>
            <rFont val="Tahoma"/>
            <family val="2"/>
          </rPr>
          <t xml:space="preserve">
</t>
        </r>
      </text>
    </comment>
    <comment ref="U7" authorId="3" shapeId="0">
      <text>
        <r>
          <rPr>
            <b/>
            <sz val="8"/>
            <color indexed="81"/>
            <rFont val="Tahoma"/>
            <family val="2"/>
          </rPr>
          <t>CSRDE:
Please enter Decimals.  For example: entering  .56888 will display as 56.9%. 
Cumulative figure.  Includes those who graduated in previous years.</t>
        </r>
        <r>
          <rPr>
            <sz val="8"/>
            <color indexed="81"/>
            <rFont val="Tahoma"/>
            <family val="2"/>
          </rPr>
          <t xml:space="preserve">
</t>
        </r>
      </text>
    </comment>
    <comment ref="V7" authorId="3" shapeId="0">
      <text>
        <r>
          <rPr>
            <b/>
            <sz val="8"/>
            <color indexed="81"/>
            <rFont val="Tahoma"/>
            <family val="2"/>
          </rPr>
          <t xml:space="preserve">CSRDE:
Please enter Decimals.  For example: entering  .56888 will display as 56.9%. 
</t>
        </r>
      </text>
    </comment>
    <comment ref="B48" authorId="4" shapeId="0">
      <text>
        <r>
          <rPr>
            <b/>
            <sz val="8"/>
            <color indexed="81"/>
            <rFont val="Tahoma"/>
            <family val="2"/>
          </rPr>
          <t>Hispanic</t>
        </r>
        <r>
          <rPr>
            <sz val="8"/>
            <color indexed="81"/>
            <rFont val="Tahoma"/>
            <family val="2"/>
          </rPr>
          <t xml:space="preserve">
</t>
        </r>
      </text>
    </comment>
    <comment ref="B68" authorId="4" shapeId="0">
      <text>
        <r>
          <rPr>
            <b/>
            <sz val="8"/>
            <color indexed="81"/>
            <rFont val="Tahoma"/>
            <family val="2"/>
          </rPr>
          <t>American Indian</t>
        </r>
        <r>
          <rPr>
            <sz val="8"/>
            <color indexed="81"/>
            <rFont val="Tahoma"/>
            <family val="2"/>
          </rPr>
          <t xml:space="preserve">
</t>
        </r>
      </text>
    </comment>
    <comment ref="B88" authorId="4" shapeId="0">
      <text>
        <r>
          <rPr>
            <b/>
            <sz val="8"/>
            <color indexed="81"/>
            <rFont val="Tahoma"/>
            <family val="2"/>
          </rPr>
          <t>Nonresident Alien</t>
        </r>
        <r>
          <rPr>
            <sz val="8"/>
            <color indexed="81"/>
            <rFont val="Tahoma"/>
            <family val="2"/>
          </rPr>
          <t xml:space="preserve">
</t>
        </r>
      </text>
    </comment>
    <comment ref="B98" authorId="3" shapeId="0">
      <text>
        <r>
          <rPr>
            <b/>
            <sz val="8"/>
            <color indexed="81"/>
            <rFont val="Tahoma"/>
            <family val="2"/>
          </rPr>
          <t>Individual who did not respond to ethnicity or who does not fit into one of the other categories</t>
        </r>
        <r>
          <rPr>
            <sz val="8"/>
            <color indexed="81"/>
            <rFont val="Tahoma"/>
            <family val="2"/>
          </rPr>
          <t xml:space="preserve">
</t>
        </r>
      </text>
    </comment>
    <comment ref="B109" authorId="1" shapeId="0">
      <text>
        <r>
          <rPr>
            <b/>
            <sz val="8"/>
            <color indexed="81"/>
            <rFont val="Tahoma"/>
            <family val="2"/>
          </rPr>
          <t>Native Hawaiian or Other Pacific Islander</t>
        </r>
      </text>
    </comment>
    <comment ref="B115" authorId="5" shapeId="0">
      <text>
        <r>
          <rPr>
            <b/>
            <sz val="9"/>
            <color indexed="81"/>
            <rFont val="Tahoma"/>
            <family val="2"/>
          </rPr>
          <t>Two or more races</t>
        </r>
      </text>
    </comment>
  </commentList>
</comments>
</file>

<file path=xl/comments2.xml><?xml version="1.0" encoding="utf-8"?>
<comments xmlns="http://schemas.openxmlformats.org/spreadsheetml/2006/main">
  <authors>
    <author>aliu</author>
  </authors>
  <commentList>
    <comment ref="D28" authorId="0" shapeId="0">
      <text>
        <r>
          <rPr>
            <b/>
            <sz val="8"/>
            <color indexed="81"/>
            <rFont val="Tahoma"/>
            <family val="2"/>
          </rPr>
          <t>DO NOT include Top 10% (4a)</t>
        </r>
      </text>
    </comment>
    <comment ref="D30" authorId="0" shapeId="0">
      <text>
        <r>
          <rPr>
            <b/>
            <sz val="8"/>
            <color indexed="81"/>
            <rFont val="Tahoma"/>
            <family val="2"/>
          </rPr>
          <t>DO NOT include Top 25% (4a and 4b)</t>
        </r>
      </text>
    </comment>
  </commentList>
</comments>
</file>

<file path=xl/sharedStrings.xml><?xml version="1.0" encoding="utf-8"?>
<sst xmlns="http://schemas.openxmlformats.org/spreadsheetml/2006/main" count="2591" uniqueCount="926">
  <si>
    <t>Head</t>
  </si>
  <si>
    <t>Count</t>
  </si>
  <si>
    <t>Average</t>
  </si>
  <si>
    <t>to 2nd Yr</t>
  </si>
  <si>
    <t>to 3rd Yr</t>
  </si>
  <si>
    <t>in 4 Yrs</t>
  </si>
  <si>
    <t>to 4th Yr</t>
  </si>
  <si>
    <t>in 5 Yrs</t>
  </si>
  <si>
    <t>to 5th Yr</t>
  </si>
  <si>
    <t>in 6 Yrs</t>
  </si>
  <si>
    <t>to 7th Yr</t>
  </si>
  <si>
    <t>to 6th Yr</t>
  </si>
  <si>
    <t xml:space="preserve">Cohort </t>
  </si>
  <si>
    <t xml:space="preserve"> </t>
  </si>
  <si>
    <t>Year</t>
  </si>
  <si>
    <t xml:space="preserve"> The following table provides the point-in-time for reporting each data cell:</t>
  </si>
  <si>
    <t xml:space="preserve">ACT </t>
  </si>
  <si>
    <t>or SAT</t>
  </si>
  <si>
    <t>in 3 Yrs</t>
  </si>
  <si>
    <t>1.</t>
  </si>
  <si>
    <t>Total Headcount Enrollment</t>
  </si>
  <si>
    <t>2.</t>
  </si>
  <si>
    <t>a.</t>
  </si>
  <si>
    <t>Full-time Undergraduate</t>
  </si>
  <si>
    <t>b.</t>
  </si>
  <si>
    <t>Part-time Undergraduate</t>
  </si>
  <si>
    <t>c.</t>
  </si>
  <si>
    <t>Degree-seeking Undergraduates</t>
  </si>
  <si>
    <t>d.</t>
  </si>
  <si>
    <t>Non-degree-seeking Undergraduates</t>
  </si>
  <si>
    <t>e.</t>
  </si>
  <si>
    <t>3.</t>
  </si>
  <si>
    <t>24 years or older</t>
  </si>
  <si>
    <t>%</t>
  </si>
  <si>
    <t>Living in university housing</t>
  </si>
  <si>
    <t>4.</t>
  </si>
  <si>
    <t xml:space="preserve">a. </t>
  </si>
  <si>
    <t>Top 10%</t>
  </si>
  <si>
    <t>Top 11-25%</t>
  </si>
  <si>
    <t>Top 26-50%</t>
  </si>
  <si>
    <t>Average ACT</t>
  </si>
  <si>
    <t xml:space="preserve">Average SAT - Verbal </t>
  </si>
  <si>
    <t>Average SAT - Math</t>
  </si>
  <si>
    <t xml:space="preserve">     </t>
  </si>
  <si>
    <t>6.</t>
  </si>
  <si>
    <t>Average GPA</t>
  </si>
  <si>
    <t>Percentage with a GPA below 2.0</t>
  </si>
  <si>
    <r>
      <t xml:space="preserve">ACT </t>
    </r>
    <r>
      <rPr>
        <b/>
        <u/>
        <sz val="10"/>
        <rFont val="Arial"/>
        <family val="2"/>
      </rPr>
      <t>or</t>
    </r>
    <r>
      <rPr>
        <sz val="10"/>
        <rFont val="Arial"/>
        <family val="2"/>
      </rPr>
      <t xml:space="preserve"> SAT Scores - Report the test score that is used by the majority of your freshmen for </t>
    </r>
  </si>
  <si>
    <t>Type</t>
  </si>
  <si>
    <t xml:space="preserve">               Institution:</t>
  </si>
  <si>
    <t xml:space="preserve">                     Institution-wide Rates</t>
  </si>
  <si>
    <t>ACT</t>
  </si>
  <si>
    <t>SAT</t>
  </si>
  <si>
    <t>Total</t>
  </si>
  <si>
    <t>Male</t>
  </si>
  <si>
    <t>Hisp</t>
  </si>
  <si>
    <t>A I</t>
  </si>
  <si>
    <t>Female</t>
  </si>
  <si>
    <t>Black</t>
  </si>
  <si>
    <t>Asian</t>
  </si>
  <si>
    <t>White</t>
  </si>
  <si>
    <t xml:space="preserve">Black, Hispanic and American Indian </t>
  </si>
  <si>
    <t xml:space="preserve"> Institution Name: </t>
  </si>
  <si>
    <t xml:space="preserve">Undergraduate Headcount  </t>
  </si>
  <si>
    <t>Total Undergraduates (Calculated)</t>
  </si>
  <si>
    <t>(a + b) must be equal to (c + d); otherwise, "Error" will be displayed.</t>
  </si>
  <si>
    <t>Respondent Name:</t>
  </si>
  <si>
    <t>Email Address:</t>
  </si>
  <si>
    <t>Phone Number:</t>
  </si>
  <si>
    <t>Institution:</t>
  </si>
  <si>
    <t>(a + b + c) cannot be &gt;100; 
otherwise, "Error" will be displayed.</t>
  </si>
  <si>
    <t>5.</t>
  </si>
  <si>
    <t>Additional comments:</t>
  </si>
  <si>
    <t>Comments:</t>
  </si>
  <si>
    <t>to_2nd_Yr</t>
  </si>
  <si>
    <t>to_3rd_Yr</t>
  </si>
  <si>
    <t>in_4_Yrs</t>
  </si>
  <si>
    <t>to_5th_Yr</t>
  </si>
  <si>
    <t>in_5_Yrs</t>
  </si>
  <si>
    <t>to_6th_Yr</t>
  </si>
  <si>
    <t>in_6_Yrs</t>
  </si>
  <si>
    <t>to_7th_Yr</t>
  </si>
  <si>
    <t>Unprotect sheet</t>
  </si>
  <si>
    <t>Institution Selectivity Scale:</t>
  </si>
  <si>
    <t>Web Address:</t>
  </si>
  <si>
    <t>Moderately Selective: ACT 21.0-22.4 or SAT 990-1044</t>
  </si>
  <si>
    <t xml:space="preserve">Less Selective: ACT &lt; 21.0 or SAT &lt; 990 </t>
  </si>
  <si>
    <t>Selective: ACT 22.5-24.0 or SAT 1045-1100</t>
  </si>
  <si>
    <t>7.</t>
  </si>
  <si>
    <t>Highly Selective: ACT &gt; 24.0 or SAT &gt; 1100</t>
  </si>
  <si>
    <t>Cohort</t>
  </si>
  <si>
    <t xml:space="preserve">           </t>
  </si>
  <si>
    <t>Fall 04</t>
  </si>
  <si>
    <t>Percentage of First-time, Full-time, Baccalaureate Degree-seeking Freshmen</t>
  </si>
  <si>
    <t>High School Rank in the</t>
  </si>
  <si>
    <t xml:space="preserve">   Section I:  First-time, Full-time, Baccalaureate Degree-seeking Freshmen</t>
  </si>
  <si>
    <t>First Semester GPA of First-time, Full-time, Baccalaureate Degree-seeking Freshmen</t>
  </si>
  <si>
    <t>Fall 05</t>
  </si>
  <si>
    <r>
      <t xml:space="preserve">purposes of admission.  </t>
    </r>
    <r>
      <rPr>
        <i/>
        <sz val="10"/>
        <rFont val="Arial"/>
        <family val="2"/>
      </rPr>
      <t>If both test scores are reported, ACT will be used.</t>
    </r>
  </si>
  <si>
    <t>Fall 06</t>
  </si>
  <si>
    <t xml:space="preserve">Percentage of First-time, Full-time, Baccalaureate Degree-seeking Freshmen with a </t>
  </si>
  <si>
    <r>
      <t xml:space="preserve">(includes </t>
    </r>
    <r>
      <rPr>
        <u/>
        <sz val="10"/>
        <rFont val="Arial"/>
        <family val="2"/>
      </rPr>
      <t>all</t>
    </r>
    <r>
      <rPr>
        <sz val="10"/>
        <rFont val="Arial"/>
        <family val="2"/>
      </rPr>
      <t xml:space="preserve"> students at your institution)</t>
    </r>
  </si>
  <si>
    <t>8.</t>
  </si>
  <si>
    <t>Section 1 Checklist</t>
  </si>
  <si>
    <t>Percentage of First-time, Full-time, Degree-seeking</t>
  </si>
  <si>
    <t xml:space="preserve">in the IPEDS Spring Collection form, </t>
  </si>
  <si>
    <t>Fall 07</t>
  </si>
  <si>
    <t>9.</t>
  </si>
  <si>
    <t>NOTE: This information is required for members to make effective peer comparisons.</t>
  </si>
  <si>
    <t>Please complete the following in full.</t>
  </si>
  <si>
    <t>to 8th Yr</t>
  </si>
  <si>
    <t>in 8 Yrs</t>
  </si>
  <si>
    <t>to 9th Yr</t>
  </si>
  <si>
    <t>by Fall 08</t>
  </si>
  <si>
    <t>Fall 08</t>
  </si>
  <si>
    <t>in_8_Yrs</t>
  </si>
  <si>
    <t>to_8th_Yr</t>
  </si>
  <si>
    <t>in_9_Yrs</t>
  </si>
  <si>
    <t>to_9th_Yr</t>
  </si>
  <si>
    <t>in_10_Yrs</t>
  </si>
  <si>
    <t>to_10th_Yr</t>
  </si>
  <si>
    <t>in_7_Yrs</t>
  </si>
  <si>
    <t>by Fall 09</t>
  </si>
  <si>
    <t>Fall 09</t>
  </si>
  <si>
    <t>to_11th_Yr</t>
  </si>
  <si>
    <t>by Fall 10</t>
  </si>
  <si>
    <t>Fall 10</t>
  </si>
  <si>
    <t>%Cont</t>
  </si>
  <si>
    <t>%Grad</t>
  </si>
  <si>
    <t>Please see Instructions tab in this workbook before completing this section.</t>
  </si>
  <si>
    <t>"Student Financial Aid".</t>
  </si>
  <si>
    <t>in 9 Yrs</t>
  </si>
  <si>
    <t>to 10th Yr</t>
  </si>
  <si>
    <t>Unknown</t>
  </si>
  <si>
    <t>Hawaiian</t>
  </si>
  <si>
    <t>Multi</t>
  </si>
  <si>
    <t>---------------------------------------------------------------------Continuation Rates and Cumulative Graduation Rates ----------------------------------------------------------------------</t>
  </si>
  <si>
    <t>Percentage of First-time, Full-time, Baccaulaureate Degree-seeking Freshmen in the Fall</t>
  </si>
  <si>
    <t>cohort that continued to Spring (for institutions with a quarter system, this is the next term):</t>
  </si>
  <si>
    <t>NOTE:  Remember to also complete the Characteristics &amp; Checklist Tabs</t>
  </si>
  <si>
    <t>in 10 Yrs</t>
  </si>
  <si>
    <t>to 11th Yr</t>
  </si>
  <si>
    <t>N R</t>
  </si>
  <si>
    <r>
      <t xml:space="preserve">Undergraduates receiving </t>
    </r>
    <r>
      <rPr>
        <b/>
        <u/>
        <sz val="10"/>
        <rFont val="Arial"/>
        <family val="2"/>
      </rPr>
      <t>Federal Grants</t>
    </r>
    <r>
      <rPr>
        <sz val="10"/>
        <rFont val="Arial"/>
        <family val="2"/>
      </rPr>
      <t xml:space="preserve"> (</t>
    </r>
    <r>
      <rPr>
        <sz val="10"/>
        <rFont val="Arial"/>
        <family val="2"/>
      </rPr>
      <t>not</t>
    </r>
    <r>
      <rPr>
        <sz val="10"/>
        <rFont val="Arial"/>
        <family val="2"/>
      </rPr>
      <t xml:space="preserve"> all Aid) as identified</t>
    </r>
  </si>
  <si>
    <t>your institution follows:</t>
  </si>
  <si>
    <t>Semester:</t>
  </si>
  <si>
    <t>Quarter:</t>
  </si>
  <si>
    <t xml:space="preserve">Mark with an "X" which academic calendar </t>
  </si>
  <si>
    <t>Trimester:</t>
  </si>
  <si>
    <t>by Fall 11</t>
  </si>
  <si>
    <t>Fall 11</t>
  </si>
  <si>
    <t>Fall 12</t>
  </si>
  <si>
    <t>by Fall 12</t>
  </si>
  <si>
    <t>Fall 13</t>
  </si>
  <si>
    <t>by Fall 13</t>
  </si>
  <si>
    <t>Male+Female &lt;&gt;Total</t>
  </si>
  <si>
    <t>ACT OR SAT out of range</t>
  </si>
  <si>
    <t>Continuation Rate increases</t>
  </si>
  <si>
    <t xml:space="preserve">Graduation Rate not cumulative </t>
  </si>
  <si>
    <t>Grad+Cont&gt;1</t>
  </si>
  <si>
    <t>Rates out of range</t>
  </si>
  <si>
    <t>Code</t>
  </si>
  <si>
    <t>Table 1: Headcount, ACT, and SAT By Cohort</t>
  </si>
  <si>
    <t>Lookup Key</t>
  </si>
  <si>
    <t>Record Type</t>
  </si>
  <si>
    <t>Cohort Type</t>
  </si>
  <si>
    <t>Cohort Year</t>
  </si>
  <si>
    <t>Headcount</t>
  </si>
  <si>
    <t>New</t>
  </si>
  <si>
    <t>Historic</t>
  </si>
  <si>
    <t>Table 2: Continuation Rate and Graduation Rate by Cohort and Follow-Up Year</t>
  </si>
  <si>
    <t>Continuation Rate</t>
  </si>
  <si>
    <t>Graduation Rate</t>
  </si>
  <si>
    <t>A I20042013</t>
  </si>
  <si>
    <t>A I20052013</t>
  </si>
  <si>
    <t>A I20062013</t>
  </si>
  <si>
    <t>A I20072013</t>
  </si>
  <si>
    <t>A I20082013</t>
  </si>
  <si>
    <t>A I20092013</t>
  </si>
  <si>
    <t>A I20102013</t>
  </si>
  <si>
    <t>A I20112013</t>
  </si>
  <si>
    <t>A I20122013</t>
  </si>
  <si>
    <t>Asian20042013</t>
  </si>
  <si>
    <t>Asian20052013</t>
  </si>
  <si>
    <t>Asian20062013</t>
  </si>
  <si>
    <t>Asian20072013</t>
  </si>
  <si>
    <t>Asian20082013</t>
  </si>
  <si>
    <t>Asian20092013</t>
  </si>
  <si>
    <t>Asian20102013</t>
  </si>
  <si>
    <t>Asian20112013</t>
  </si>
  <si>
    <t>Asian20122013</t>
  </si>
  <si>
    <t>Black20042013</t>
  </si>
  <si>
    <t>Black20052013</t>
  </si>
  <si>
    <t>Black20062013</t>
  </si>
  <si>
    <t>Black20072013</t>
  </si>
  <si>
    <t>Black20082013</t>
  </si>
  <si>
    <t>Black20092013</t>
  </si>
  <si>
    <t>Black20102013</t>
  </si>
  <si>
    <t>Black20112013</t>
  </si>
  <si>
    <t>Black20122013</t>
  </si>
  <si>
    <t>Female20042013</t>
  </si>
  <si>
    <t>Female20052013</t>
  </si>
  <si>
    <t>Female20062013</t>
  </si>
  <si>
    <t>Female20072013</t>
  </si>
  <si>
    <t>Female20082013</t>
  </si>
  <si>
    <t>Female20092013</t>
  </si>
  <si>
    <t>Female20102013</t>
  </si>
  <si>
    <t>Female20112013</t>
  </si>
  <si>
    <t>Female20122013</t>
  </si>
  <si>
    <t>Hawaiian20082013</t>
  </si>
  <si>
    <t>Hawaiian20092013</t>
  </si>
  <si>
    <t>Hawaiian20102013</t>
  </si>
  <si>
    <t>Hawaiian20112013</t>
  </si>
  <si>
    <t>Hawaiian20122013</t>
  </si>
  <si>
    <t>Hisp20042013</t>
  </si>
  <si>
    <t>Hisp20052013</t>
  </si>
  <si>
    <t>Hisp20062013</t>
  </si>
  <si>
    <t>Hisp20072013</t>
  </si>
  <si>
    <t>Hisp20082013</t>
  </si>
  <si>
    <t>Hisp20092013</t>
  </si>
  <si>
    <t>Hisp20102013</t>
  </si>
  <si>
    <t>Hisp20112013</t>
  </si>
  <si>
    <t>Hisp20122013</t>
  </si>
  <si>
    <t>Male20042013</t>
  </si>
  <si>
    <t>Male20052013</t>
  </si>
  <si>
    <t>Male20062013</t>
  </si>
  <si>
    <t>Male20072013</t>
  </si>
  <si>
    <t>Male20082013</t>
  </si>
  <si>
    <t>Male20092013</t>
  </si>
  <si>
    <t>Male20102013</t>
  </si>
  <si>
    <t>Male20112013</t>
  </si>
  <si>
    <t>Male20122013</t>
  </si>
  <si>
    <t>Multi20082013</t>
  </si>
  <si>
    <t>Multi20092013</t>
  </si>
  <si>
    <t>Multi20102013</t>
  </si>
  <si>
    <t>Multi20112013</t>
  </si>
  <si>
    <t>Multi20122013</t>
  </si>
  <si>
    <t>N R20042013</t>
  </si>
  <si>
    <t>N R20052013</t>
  </si>
  <si>
    <t>N R20062013</t>
  </si>
  <si>
    <t>N R20072013</t>
  </si>
  <si>
    <t>N R20082013</t>
  </si>
  <si>
    <t>N R20092013</t>
  </si>
  <si>
    <t>N R20102013</t>
  </si>
  <si>
    <t>N R20112013</t>
  </si>
  <si>
    <t>N R20122013</t>
  </si>
  <si>
    <t>Total20042013</t>
  </si>
  <si>
    <t>Total20052013</t>
  </si>
  <si>
    <t>Total20062013</t>
  </si>
  <si>
    <t>Total20072013</t>
  </si>
  <si>
    <t>Total20082013</t>
  </si>
  <si>
    <t>Total20092013</t>
  </si>
  <si>
    <t>Total20102013</t>
  </si>
  <si>
    <t>Total20112013</t>
  </si>
  <si>
    <t>Total20122013</t>
  </si>
  <si>
    <t>Unknown20042013</t>
  </si>
  <si>
    <t>Unknown20052013</t>
  </si>
  <si>
    <t>Unknown20062013</t>
  </si>
  <si>
    <t>Unknown20072013</t>
  </si>
  <si>
    <t>Unknown20082013</t>
  </si>
  <si>
    <t>Unknown20092013</t>
  </si>
  <si>
    <t>Unknown20102013</t>
  </si>
  <si>
    <t>Unknown20112013</t>
  </si>
  <si>
    <t>Unknown20122013</t>
  </si>
  <si>
    <t>White20042013</t>
  </si>
  <si>
    <t>White20052013</t>
  </si>
  <si>
    <t>White20062013</t>
  </si>
  <si>
    <t>White20072013</t>
  </si>
  <si>
    <t>White20082013</t>
  </si>
  <si>
    <t>White20092013</t>
  </si>
  <si>
    <t>White20102013</t>
  </si>
  <si>
    <t>White20112013</t>
  </si>
  <si>
    <t>White20122013</t>
  </si>
  <si>
    <t>A I20042005</t>
  </si>
  <si>
    <t>A I20042006</t>
  </si>
  <si>
    <t>A I20042007</t>
  </si>
  <si>
    <t>A I20042008</t>
  </si>
  <si>
    <t>A I20042009</t>
  </si>
  <si>
    <t>A I20042010</t>
  </si>
  <si>
    <t>A I20042011</t>
  </si>
  <si>
    <t>A I20042012</t>
  </si>
  <si>
    <t>A I20052006</t>
  </si>
  <si>
    <t>A I20052007</t>
  </si>
  <si>
    <t>A I20052008</t>
  </si>
  <si>
    <t>A I20052009</t>
  </si>
  <si>
    <t>A I20052010</t>
  </si>
  <si>
    <t>A I20052011</t>
  </si>
  <si>
    <t>A I20052012</t>
  </si>
  <si>
    <t>A I20062007</t>
  </si>
  <si>
    <t>A I20062008</t>
  </si>
  <si>
    <t>A I20062009</t>
  </si>
  <si>
    <t>A I20062010</t>
  </si>
  <si>
    <t>A I20062011</t>
  </si>
  <si>
    <t>A I20062012</t>
  </si>
  <si>
    <t>A I20072008</t>
  </si>
  <si>
    <t>A I20072009</t>
  </si>
  <si>
    <t>A I20072010</t>
  </si>
  <si>
    <t>A I20072011</t>
  </si>
  <si>
    <t>A I20072012</t>
  </si>
  <si>
    <t>A I20082009</t>
  </si>
  <si>
    <t>A I20082010</t>
  </si>
  <si>
    <t>A I20082011</t>
  </si>
  <si>
    <t>A I20082012</t>
  </si>
  <si>
    <t>A I20092010</t>
  </si>
  <si>
    <t>A I20092011</t>
  </si>
  <si>
    <t>A I20092012</t>
  </si>
  <si>
    <t>A I20102011</t>
  </si>
  <si>
    <t>A I20102012</t>
  </si>
  <si>
    <t>A I20112012</t>
  </si>
  <si>
    <t>Asian20042005</t>
  </si>
  <si>
    <t>Asian20042006</t>
  </si>
  <si>
    <t>Asian20042007</t>
  </si>
  <si>
    <t>Asian20042008</t>
  </si>
  <si>
    <t>Asian20042009</t>
  </si>
  <si>
    <t>Asian20042010</t>
  </si>
  <si>
    <t>Asian20042011</t>
  </si>
  <si>
    <t>Asian20042012</t>
  </si>
  <si>
    <t>Asian20052006</t>
  </si>
  <si>
    <t>Asian20052007</t>
  </si>
  <si>
    <t>Asian20052008</t>
  </si>
  <si>
    <t>Asian20052009</t>
  </si>
  <si>
    <t>Asian20052010</t>
  </si>
  <si>
    <t>Asian20052011</t>
  </si>
  <si>
    <t>Asian20052012</t>
  </si>
  <si>
    <t>Asian20062007</t>
  </si>
  <si>
    <t>Asian20062008</t>
  </si>
  <si>
    <t>Asian20062009</t>
  </si>
  <si>
    <t>Asian20062010</t>
  </si>
  <si>
    <t>Asian20062011</t>
  </si>
  <si>
    <t>Asian20062012</t>
  </si>
  <si>
    <t>Asian20072008</t>
  </si>
  <si>
    <t>Asian20072009</t>
  </si>
  <si>
    <t>Asian20072010</t>
  </si>
  <si>
    <t>Asian20072011</t>
  </si>
  <si>
    <t>Asian20072012</t>
  </si>
  <si>
    <t>Asian20082009</t>
  </si>
  <si>
    <t>Asian20082010</t>
  </si>
  <si>
    <t>Asian20082011</t>
  </si>
  <si>
    <t>Asian20082012</t>
  </si>
  <si>
    <t>Asian20092010</t>
  </si>
  <si>
    <t>Asian20092011</t>
  </si>
  <si>
    <t>Asian20092012</t>
  </si>
  <si>
    <t>Asian20102011</t>
  </si>
  <si>
    <t>Asian20102012</t>
  </si>
  <si>
    <t>Asian20112012</t>
  </si>
  <si>
    <t>Black20042005</t>
  </si>
  <si>
    <t>Black20042006</t>
  </si>
  <si>
    <t>Black20042007</t>
  </si>
  <si>
    <t>Black20042008</t>
  </si>
  <si>
    <t>Black20042009</t>
  </si>
  <si>
    <t>Black20042010</t>
  </si>
  <si>
    <t>Black20042011</t>
  </si>
  <si>
    <t>Black20042012</t>
  </si>
  <si>
    <t>Black20052006</t>
  </si>
  <si>
    <t>Black20052007</t>
  </si>
  <si>
    <t>Black20052009</t>
  </si>
  <si>
    <t>Black20052010</t>
  </si>
  <si>
    <t>Black20052011</t>
  </si>
  <si>
    <t>Black20052012</t>
  </si>
  <si>
    <t>Black20062007</t>
  </si>
  <si>
    <t>Black20062008</t>
  </si>
  <si>
    <t>Black20062009</t>
  </si>
  <si>
    <t>Black20062010</t>
  </si>
  <si>
    <t>Black20062011</t>
  </si>
  <si>
    <t>Black20062012</t>
  </si>
  <si>
    <t>Black20072008</t>
  </si>
  <si>
    <t>Black20072009</t>
  </si>
  <si>
    <t>Black20072010</t>
  </si>
  <si>
    <t>Black20072011</t>
  </si>
  <si>
    <t>Black20072012</t>
  </si>
  <si>
    <t>Black20082009</t>
  </si>
  <si>
    <t>Black20082010</t>
  </si>
  <si>
    <t>Black20082011</t>
  </si>
  <si>
    <t>Black20082012</t>
  </si>
  <si>
    <t>Black20092010</t>
  </si>
  <si>
    <t>Black20092011</t>
  </si>
  <si>
    <t>Black20092012</t>
  </si>
  <si>
    <t>Black20102011</t>
  </si>
  <si>
    <t>Black20102012</t>
  </si>
  <si>
    <t>Black20112012</t>
  </si>
  <si>
    <t>Female20042005</t>
  </si>
  <si>
    <t>Female20042006</t>
  </si>
  <si>
    <t>Female20042007</t>
  </si>
  <si>
    <t>Female20042008</t>
  </si>
  <si>
    <t>Female20042009</t>
  </si>
  <si>
    <t>Female20042010</t>
  </si>
  <si>
    <t>Female20042011</t>
  </si>
  <si>
    <t>Female20042012</t>
  </si>
  <si>
    <t>Female20052006</t>
  </si>
  <si>
    <t>Female20052007</t>
  </si>
  <si>
    <t>Female20052008</t>
  </si>
  <si>
    <t>Female20052009</t>
  </si>
  <si>
    <t>Female20052010</t>
  </si>
  <si>
    <t>Female20052011</t>
  </si>
  <si>
    <t>Female20052012</t>
  </si>
  <si>
    <t>Female20062007</t>
  </si>
  <si>
    <t>Female20062008</t>
  </si>
  <si>
    <t>Female20062009</t>
  </si>
  <si>
    <t>Female20062010</t>
  </si>
  <si>
    <t>Female20062011</t>
  </si>
  <si>
    <t>Female20062012</t>
  </si>
  <si>
    <t>Female20072008</t>
  </si>
  <si>
    <t>Female20072009</t>
  </si>
  <si>
    <t>Female20072010</t>
  </si>
  <si>
    <t>Female20072011</t>
  </si>
  <si>
    <t>Female20072012</t>
  </si>
  <si>
    <t>Female20082009</t>
  </si>
  <si>
    <t>Female20082010</t>
  </si>
  <si>
    <t>Female20082011</t>
  </si>
  <si>
    <t>Female20082012</t>
  </si>
  <si>
    <t>Female20092010</t>
  </si>
  <si>
    <t>Female20092011</t>
  </si>
  <si>
    <t>Female20092012</t>
  </si>
  <si>
    <t>Female20102011</t>
  </si>
  <si>
    <t>Female20102012</t>
  </si>
  <si>
    <t>Female20112012</t>
  </si>
  <si>
    <t>Hawaiian20082010</t>
  </si>
  <si>
    <t>Hawaiian20082011</t>
  </si>
  <si>
    <t>Hawaiian20082012</t>
  </si>
  <si>
    <t>Hawaiian20092010</t>
  </si>
  <si>
    <t>Hawaiian20092011</t>
  </si>
  <si>
    <t>Hawaiian20092012</t>
  </si>
  <si>
    <t>Hawaiian20102011</t>
  </si>
  <si>
    <t>Hawaiian20102012</t>
  </si>
  <si>
    <t>Hawaiian20112012</t>
  </si>
  <si>
    <t>Hisp20042005</t>
  </si>
  <si>
    <t>Hisp20042006</t>
  </si>
  <si>
    <t>Hisp20042007</t>
  </si>
  <si>
    <t>Hisp20042008</t>
  </si>
  <si>
    <t>Hisp20042009</t>
  </si>
  <si>
    <t>Hisp20042010</t>
  </si>
  <si>
    <t>Hisp20042011</t>
  </si>
  <si>
    <t>Hisp20042012</t>
  </si>
  <si>
    <t>Hisp20052006</t>
  </si>
  <si>
    <t>Hisp20052007</t>
  </si>
  <si>
    <t>Hisp20052008</t>
  </si>
  <si>
    <t>Hisp20052009</t>
  </si>
  <si>
    <t>Hisp20052010</t>
  </si>
  <si>
    <t>Hisp20052011</t>
  </si>
  <si>
    <t>Hisp20052012</t>
  </si>
  <si>
    <t>Hisp20062007</t>
  </si>
  <si>
    <t>Hisp20062008</t>
  </si>
  <si>
    <t>Hisp20062009</t>
  </si>
  <si>
    <t>Hisp20062010</t>
  </si>
  <si>
    <t>Hisp20062011</t>
  </si>
  <si>
    <t>Hisp20062012</t>
  </si>
  <si>
    <t>Hisp20072008</t>
  </si>
  <si>
    <t>Hisp20072009</t>
  </si>
  <si>
    <t>Hisp20072010</t>
  </si>
  <si>
    <t>Hisp20072011</t>
  </si>
  <si>
    <t>Hisp20072012</t>
  </si>
  <si>
    <t>Hisp20082009</t>
  </si>
  <si>
    <t>Hisp20082010</t>
  </si>
  <si>
    <t>Hisp20082011</t>
  </si>
  <si>
    <t>Hisp20082012</t>
  </si>
  <si>
    <t>Hisp20092010</t>
  </si>
  <si>
    <t>Hisp20092011</t>
  </si>
  <si>
    <t>Hisp20092012</t>
  </si>
  <si>
    <t>Hisp20102011</t>
  </si>
  <si>
    <t>Hisp20102012</t>
  </si>
  <si>
    <t>Hisp20112012</t>
  </si>
  <si>
    <t>Male20042005</t>
  </si>
  <si>
    <t>Male20042006</t>
  </si>
  <si>
    <t>Male20042007</t>
  </si>
  <si>
    <t>Male20042008</t>
  </si>
  <si>
    <t>Male20042009</t>
  </si>
  <si>
    <t>Male20042010</t>
  </si>
  <si>
    <t>Male20042011</t>
  </si>
  <si>
    <t>Male20042012</t>
  </si>
  <si>
    <t>Male20052006</t>
  </si>
  <si>
    <t>Male20052007</t>
  </si>
  <si>
    <t>Male20052008</t>
  </si>
  <si>
    <t>Male20052009</t>
  </si>
  <si>
    <t>Male20052010</t>
  </si>
  <si>
    <t>Male20052011</t>
  </si>
  <si>
    <t>Male20052012</t>
  </si>
  <si>
    <t>Male20062007</t>
  </si>
  <si>
    <t>Male20062008</t>
  </si>
  <si>
    <t>Male20062009</t>
  </si>
  <si>
    <t>Male20062010</t>
  </si>
  <si>
    <t>Male20062011</t>
  </si>
  <si>
    <t>Male20062012</t>
  </si>
  <si>
    <t>Male20072008</t>
  </si>
  <si>
    <t>Male20072009</t>
  </si>
  <si>
    <t>Male20072010</t>
  </si>
  <si>
    <t>Male20072011</t>
  </si>
  <si>
    <t>Male20072012</t>
  </si>
  <si>
    <t>Male20082009</t>
  </si>
  <si>
    <t>Male20082010</t>
  </si>
  <si>
    <t>Male20082011</t>
  </si>
  <si>
    <t>Male20082012</t>
  </si>
  <si>
    <t>Male20092010</t>
  </si>
  <si>
    <t>Male20092011</t>
  </si>
  <si>
    <t>Male20092012</t>
  </si>
  <si>
    <t>Male20102011</t>
  </si>
  <si>
    <t>Male20102012</t>
  </si>
  <si>
    <t>Male20112012</t>
  </si>
  <si>
    <t>Multi20082010</t>
  </si>
  <si>
    <t>Multi20082011</t>
  </si>
  <si>
    <t>Multi20082012</t>
  </si>
  <si>
    <t>Multi20092010</t>
  </si>
  <si>
    <t>Multi20092011</t>
  </si>
  <si>
    <t>Multi20092012</t>
  </si>
  <si>
    <t>Multi20102011</t>
  </si>
  <si>
    <t>Multi20102012</t>
  </si>
  <si>
    <t>Multi20112012</t>
  </si>
  <si>
    <t>N R20042005</t>
  </si>
  <si>
    <t>N R20042006</t>
  </si>
  <si>
    <t>N R20042007</t>
  </si>
  <si>
    <t>N R20042008</t>
  </si>
  <si>
    <t>N R20042009</t>
  </si>
  <si>
    <t>N R20042010</t>
  </si>
  <si>
    <t>N R20042011</t>
  </si>
  <si>
    <t>N R20042012</t>
  </si>
  <si>
    <t>N R20052006</t>
  </si>
  <si>
    <t>N R20052007</t>
  </si>
  <si>
    <t>N R20052008</t>
  </si>
  <si>
    <t>N R20052009</t>
  </si>
  <si>
    <t>N R20052010</t>
  </si>
  <si>
    <t>N R20052011</t>
  </si>
  <si>
    <t>N R20052012</t>
  </si>
  <si>
    <t>N R20062007</t>
  </si>
  <si>
    <t>N R20062008</t>
  </si>
  <si>
    <t>N R20062009</t>
  </si>
  <si>
    <t>N R20062010</t>
  </si>
  <si>
    <t>N R20062011</t>
  </si>
  <si>
    <t>N R20062012</t>
  </si>
  <si>
    <t>N R20072008</t>
  </si>
  <si>
    <t>N R20072009</t>
  </si>
  <si>
    <t>N R20072010</t>
  </si>
  <si>
    <t>N R20072011</t>
  </si>
  <si>
    <t>N R20072012</t>
  </si>
  <si>
    <t>N R20082009</t>
  </si>
  <si>
    <t>N R20082010</t>
  </si>
  <si>
    <t>N R20082011</t>
  </si>
  <si>
    <t>N R20082012</t>
  </si>
  <si>
    <t>N R20092010</t>
  </si>
  <si>
    <t>N R20092011</t>
  </si>
  <si>
    <t>N R20092012</t>
  </si>
  <si>
    <t>N R20102011</t>
  </si>
  <si>
    <t>N R20102012</t>
  </si>
  <si>
    <t>N R20112012</t>
  </si>
  <si>
    <t>Total20042005</t>
  </si>
  <si>
    <t>Total20042006</t>
  </si>
  <si>
    <t>Total20042007</t>
  </si>
  <si>
    <t>Total20042008</t>
  </si>
  <si>
    <t>Total20042009</t>
  </si>
  <si>
    <t>Total20042010</t>
  </si>
  <si>
    <t>Total20042011</t>
  </si>
  <si>
    <t>Total20042012</t>
  </si>
  <si>
    <t>Total20052006</t>
  </si>
  <si>
    <t>Total20052007</t>
  </si>
  <si>
    <t>Total20052008</t>
  </si>
  <si>
    <t>Total20052009</t>
  </si>
  <si>
    <t>Total20052010</t>
  </si>
  <si>
    <t>Total20052011</t>
  </si>
  <si>
    <t>Total20052012</t>
  </si>
  <si>
    <t>Total20062007</t>
  </si>
  <si>
    <t>Total20062008</t>
  </si>
  <si>
    <t>Total20062009</t>
  </si>
  <si>
    <t>Total20062010</t>
  </si>
  <si>
    <t>Total20062011</t>
  </si>
  <si>
    <t>Total20062012</t>
  </si>
  <si>
    <t>Total20072008</t>
  </si>
  <si>
    <t>Total20072009</t>
  </si>
  <si>
    <t>Total20072010</t>
  </si>
  <si>
    <t>Total20072011</t>
  </si>
  <si>
    <t>Total20072012</t>
  </si>
  <si>
    <t>Total20082009</t>
  </si>
  <si>
    <t>Total20082010</t>
  </si>
  <si>
    <t>Total20082011</t>
  </si>
  <si>
    <t>Total20082012</t>
  </si>
  <si>
    <t>Total20092010</t>
  </si>
  <si>
    <t>Total20092011</t>
  </si>
  <si>
    <t>Total20092012</t>
  </si>
  <si>
    <t>Total20102011</t>
  </si>
  <si>
    <t>Total20102012</t>
  </si>
  <si>
    <t>Total20112012</t>
  </si>
  <si>
    <t>Unknown20042005</t>
  </si>
  <si>
    <t>Unknown20042006</t>
  </si>
  <si>
    <t>Unknown20042007</t>
  </si>
  <si>
    <t>Unknown20042008</t>
  </si>
  <si>
    <t>Unknown20042009</t>
  </si>
  <si>
    <t>Unknown20042010</t>
  </si>
  <si>
    <t>Unknown20042011</t>
  </si>
  <si>
    <t>Unknown20042012</t>
  </si>
  <si>
    <t>Unknown20052006</t>
  </si>
  <si>
    <t>Unknown20052007</t>
  </si>
  <si>
    <t>Unknown20052008</t>
  </si>
  <si>
    <t>Unknown20052009</t>
  </si>
  <si>
    <t>Unknown20052010</t>
  </si>
  <si>
    <t>Unknown20052011</t>
  </si>
  <si>
    <t>Unknown20052012</t>
  </si>
  <si>
    <t>Unknown20062007</t>
  </si>
  <si>
    <t>Unknown20062008</t>
  </si>
  <si>
    <t>Unknown20062009</t>
  </si>
  <si>
    <t>Unknown20062010</t>
  </si>
  <si>
    <t>Unknown20062011</t>
  </si>
  <si>
    <t>Unknown20062012</t>
  </si>
  <si>
    <t>Unknown20072008</t>
  </si>
  <si>
    <t>Unknown20072009</t>
  </si>
  <si>
    <t>Unknown20072010</t>
  </si>
  <si>
    <t>Unknown20072011</t>
  </si>
  <si>
    <t>Unknown20072012</t>
  </si>
  <si>
    <t>Unknown20082009</t>
  </si>
  <si>
    <t>Unknown20082010</t>
  </si>
  <si>
    <t>Unknown20082011</t>
  </si>
  <si>
    <t>Unknown20082012</t>
  </si>
  <si>
    <t>Unknown20092010</t>
  </si>
  <si>
    <t>Unknown20092011</t>
  </si>
  <si>
    <t>Unknown20092012</t>
  </si>
  <si>
    <t>Unknown20102011</t>
  </si>
  <si>
    <t>Unknown20102012</t>
  </si>
  <si>
    <t>Unknown20112012</t>
  </si>
  <si>
    <t>White20042005</t>
  </si>
  <si>
    <t>White20042006</t>
  </si>
  <si>
    <t>White20042007</t>
  </si>
  <si>
    <t>White20042008</t>
  </si>
  <si>
    <t>White20042009</t>
  </si>
  <si>
    <t>White20042010</t>
  </si>
  <si>
    <t>White20042011</t>
  </si>
  <si>
    <t>White20042012</t>
  </si>
  <si>
    <t>White20052006</t>
  </si>
  <si>
    <t>White20052007</t>
  </si>
  <si>
    <t>White20052008</t>
  </si>
  <si>
    <t>White20052009</t>
  </si>
  <si>
    <t>White20052010</t>
  </si>
  <si>
    <t>White20052011</t>
  </si>
  <si>
    <t>White20052012</t>
  </si>
  <si>
    <t>White20062007</t>
  </si>
  <si>
    <t>White20062008</t>
  </si>
  <si>
    <t>White20062009</t>
  </si>
  <si>
    <t>White20062010</t>
  </si>
  <si>
    <t>White20062011</t>
  </si>
  <si>
    <t>White20062012</t>
  </si>
  <si>
    <t>White20072008</t>
  </si>
  <si>
    <t>White20072009</t>
  </si>
  <si>
    <t>White20072010</t>
  </si>
  <si>
    <t>White20072011</t>
  </si>
  <si>
    <t>White20072012</t>
  </si>
  <si>
    <t>White20082009</t>
  </si>
  <si>
    <t>White20082010</t>
  </si>
  <si>
    <t>White20082011</t>
  </si>
  <si>
    <t>White20082012</t>
  </si>
  <si>
    <t>White20092010</t>
  </si>
  <si>
    <t>White20092011</t>
  </si>
  <si>
    <t>White20092012</t>
  </si>
  <si>
    <t>White20102011</t>
  </si>
  <si>
    <t>White20102012</t>
  </si>
  <si>
    <t>White20112012</t>
  </si>
  <si>
    <t>Black20052008</t>
  </si>
  <si>
    <t>A I2012</t>
  </si>
  <si>
    <t>Asian2012</t>
  </si>
  <si>
    <t>Black2012</t>
  </si>
  <si>
    <t>Female2012</t>
  </si>
  <si>
    <t>Hawaiian2012</t>
  </si>
  <si>
    <t>Hisp2012</t>
  </si>
  <si>
    <t>Male2012</t>
  </si>
  <si>
    <t>Multi2012</t>
  </si>
  <si>
    <t>N R2012</t>
  </si>
  <si>
    <t>Total2012</t>
  </si>
  <si>
    <t>Unknown2012</t>
  </si>
  <si>
    <t>White2012</t>
  </si>
  <si>
    <t>A I2004</t>
  </si>
  <si>
    <t>A I2005</t>
  </si>
  <si>
    <t>A I2006</t>
  </si>
  <si>
    <t>A I2007</t>
  </si>
  <si>
    <t>A I2008</t>
  </si>
  <si>
    <t>A I2009</t>
  </si>
  <si>
    <t>A I2010</t>
  </si>
  <si>
    <t>A I2011</t>
  </si>
  <si>
    <t>Asian2004</t>
  </si>
  <si>
    <t>Asian2005</t>
  </si>
  <si>
    <t>Asian2006</t>
  </si>
  <si>
    <t>Asian2007</t>
  </si>
  <si>
    <t>Asian2008</t>
  </si>
  <si>
    <t>Asian2009</t>
  </si>
  <si>
    <t>Asian2010</t>
  </si>
  <si>
    <t>Asian2011</t>
  </si>
  <si>
    <t>Black2004</t>
  </si>
  <si>
    <t>Black2005</t>
  </si>
  <si>
    <t>Black2006</t>
  </si>
  <si>
    <t>Black2007</t>
  </si>
  <si>
    <t>Black2008</t>
  </si>
  <si>
    <t>Black2009</t>
  </si>
  <si>
    <t>Black2010</t>
  </si>
  <si>
    <t>Black2011</t>
  </si>
  <si>
    <t>Female2004</t>
  </si>
  <si>
    <t>Female2005</t>
  </si>
  <si>
    <t>Female2006</t>
  </si>
  <si>
    <t>Female2007</t>
  </si>
  <si>
    <t>Female2008</t>
  </si>
  <si>
    <t>Female2009</t>
  </si>
  <si>
    <t>Female2010</t>
  </si>
  <si>
    <t>Female2011</t>
  </si>
  <si>
    <t>Hawaiian2008</t>
  </si>
  <si>
    <t>Hawaiian2009</t>
  </si>
  <si>
    <t>Hawaiian2010</t>
  </si>
  <si>
    <t>Hawaiian2011</t>
  </si>
  <si>
    <t>Hisp2004</t>
  </si>
  <si>
    <t>Hisp2005</t>
  </si>
  <si>
    <t>Hisp2006</t>
  </si>
  <si>
    <t>Hisp2007</t>
  </si>
  <si>
    <t>Hisp2008</t>
  </si>
  <si>
    <t>Hisp2009</t>
  </si>
  <si>
    <t>Hisp2010</t>
  </si>
  <si>
    <t>Hisp2011</t>
  </si>
  <si>
    <t>Male2004</t>
  </si>
  <si>
    <t>Male2005</t>
  </si>
  <si>
    <t>Male2006</t>
  </si>
  <si>
    <t>Male2007</t>
  </si>
  <si>
    <t>Male2008</t>
  </si>
  <si>
    <t>Male2009</t>
  </si>
  <si>
    <t>Male2010</t>
  </si>
  <si>
    <t>Male2011</t>
  </si>
  <si>
    <t>Multi2008</t>
  </si>
  <si>
    <t>Multi2009</t>
  </si>
  <si>
    <t>Multi2010</t>
  </si>
  <si>
    <t>Multi2011</t>
  </si>
  <si>
    <t>N R2004</t>
  </si>
  <si>
    <t>N R2005</t>
  </si>
  <si>
    <t>N R2006</t>
  </si>
  <si>
    <t>N R2007</t>
  </si>
  <si>
    <t>N R2008</t>
  </si>
  <si>
    <t>N R2009</t>
  </si>
  <si>
    <t>N R2010</t>
  </si>
  <si>
    <t>N R2011</t>
  </si>
  <si>
    <t>Total2004</t>
  </si>
  <si>
    <t>Total2005</t>
  </si>
  <si>
    <t>Total2006</t>
  </si>
  <si>
    <t>Total2007</t>
  </si>
  <si>
    <t>Total2008</t>
  </si>
  <si>
    <t>Total2009</t>
  </si>
  <si>
    <t>Total2010</t>
  </si>
  <si>
    <t>Total2011</t>
  </si>
  <si>
    <t>Unknown2004</t>
  </si>
  <si>
    <t>Unknown2005</t>
  </si>
  <si>
    <t>Unknown2006</t>
  </si>
  <si>
    <t>Unknown2007</t>
  </si>
  <si>
    <t>Unknown2008</t>
  </si>
  <si>
    <t>Unknown2009</t>
  </si>
  <si>
    <t>Unknown2010</t>
  </si>
  <si>
    <t>Unknown2011</t>
  </si>
  <si>
    <t>White2004</t>
  </si>
  <si>
    <t>White2005</t>
  </si>
  <si>
    <t>White2006</t>
  </si>
  <si>
    <t>White2007</t>
  </si>
  <si>
    <t>White2008</t>
  </si>
  <si>
    <t>White2009</t>
  </si>
  <si>
    <t>White2010</t>
  </si>
  <si>
    <t>White2011</t>
  </si>
  <si>
    <t>Gender Alert: (Female count*rate) + (Male count*rate) &lt;&gt; (Total count*rate)</t>
  </si>
  <si>
    <r>
      <rPr>
        <b/>
        <sz val="10"/>
        <rFont val="Calibri"/>
        <family val="2"/>
      </rPr>
      <t>∑</t>
    </r>
    <r>
      <rPr>
        <b/>
        <sz val="10"/>
        <rFont val="Arial"/>
        <family val="2"/>
      </rPr>
      <t>Races &lt;&gt;Total</t>
    </r>
  </si>
  <si>
    <t>Continued To Fall
-----------------
Graduated By Fall</t>
  </si>
  <si>
    <t>Possible data problems indicated on Section I worksheet</t>
  </si>
  <si>
    <t>If an alert still appears on Section I worksheet after reviewing and no change is necessary, please briefly explain below.</t>
  </si>
  <si>
    <t>Alert labels, refer to Section I Checklist tab for details</t>
  </si>
  <si>
    <t>Instructions
2014-15 CSRDE Retention Survey</t>
  </si>
  <si>
    <t>Fall 2008</t>
  </si>
  <si>
    <t>Fall 2013</t>
  </si>
  <si>
    <t>2014-15 CSRDE Retention Survey</t>
  </si>
  <si>
    <t>2010 to 2013 cohort data for Hawaiian and Multi are required, however, 2008 and 2009 cohorts are optional but not recommended.  See definitions for instructions</t>
  </si>
  <si>
    <t>2014-15 CSRDE Institutional and Student Characteristics Survey</t>
  </si>
  <si>
    <t>Definitions
2014-15 CSRDE Retention Survey</t>
  </si>
  <si>
    <t>Headcount 0 or blank, yet a rate</t>
  </si>
  <si>
    <t>Continuation Rates</t>
  </si>
  <si>
    <t>------------------------------------------------------------------------------------- Cumulative Graduation Rates and Continuation Rates ---------------------------------------------------------------------------------------</t>
  </si>
  <si>
    <t>Continued</t>
  </si>
  <si>
    <t>Graduated</t>
  </si>
  <si>
    <t>in_7 Yrs</t>
  </si>
  <si>
    <t>2014-15 Survey Documentation Form</t>
  </si>
  <si>
    <t>Fall 14</t>
  </si>
  <si>
    <t>by Fall 14</t>
  </si>
  <si>
    <t>A I2013</t>
  </si>
  <si>
    <t>Asian2013</t>
  </si>
  <si>
    <t>Black2013</t>
  </si>
  <si>
    <t>Female2013</t>
  </si>
  <si>
    <t>Hawaiian2013</t>
  </si>
  <si>
    <t>Hisp2013</t>
  </si>
  <si>
    <t>Male2013</t>
  </si>
  <si>
    <t>Multi2013</t>
  </si>
  <si>
    <t>N R2013</t>
  </si>
  <si>
    <t>Total2013</t>
  </si>
  <si>
    <t>Unknown2013</t>
  </si>
  <si>
    <t>White2013</t>
  </si>
  <si>
    <t>A I20042014</t>
  </si>
  <si>
    <t>A I20052014</t>
  </si>
  <si>
    <t>A I20062014</t>
  </si>
  <si>
    <t>A I20072014</t>
  </si>
  <si>
    <t>A I20082014</t>
  </si>
  <si>
    <t>A I20092014</t>
  </si>
  <si>
    <t>A I20102014</t>
  </si>
  <si>
    <t>A I20112014</t>
  </si>
  <si>
    <t>A I20122014</t>
  </si>
  <si>
    <t>A I20132014</t>
  </si>
  <si>
    <t>Asian20042014</t>
  </si>
  <si>
    <t>Asian20052014</t>
  </si>
  <si>
    <t>Asian20062014</t>
  </si>
  <si>
    <t>Asian20072014</t>
  </si>
  <si>
    <t>Asian20082014</t>
  </si>
  <si>
    <t>Asian20092014</t>
  </si>
  <si>
    <t>Asian20102014</t>
  </si>
  <si>
    <t>Asian20112014</t>
  </si>
  <si>
    <t>Asian20122014</t>
  </si>
  <si>
    <t>Asian20132014</t>
  </si>
  <si>
    <t>Black20042014</t>
  </si>
  <si>
    <t>Black20052014</t>
  </si>
  <si>
    <t>Black20062014</t>
  </si>
  <si>
    <t>Black20072014</t>
  </si>
  <si>
    <t>Black20082014</t>
  </si>
  <si>
    <t>Black20092014</t>
  </si>
  <si>
    <t>Black20102014</t>
  </si>
  <si>
    <t>Black20112014</t>
  </si>
  <si>
    <t>Black20122014</t>
  </si>
  <si>
    <t>Black20132014</t>
  </si>
  <si>
    <t>Female20042014</t>
  </si>
  <si>
    <t>Female20052014</t>
  </si>
  <si>
    <t>Female20062014</t>
  </si>
  <si>
    <t>Female20072014</t>
  </si>
  <si>
    <t>Female20082014</t>
  </si>
  <si>
    <t>Female20092014</t>
  </si>
  <si>
    <t>Female20102014</t>
  </si>
  <si>
    <t>Female20112014</t>
  </si>
  <si>
    <t>Female20122014</t>
  </si>
  <si>
    <t>Female20132014</t>
  </si>
  <si>
    <t>Hawaiian20082014</t>
  </si>
  <si>
    <t>Hawaiian20092014</t>
  </si>
  <si>
    <t>Hawaiian20102014</t>
  </si>
  <si>
    <t>Hawaiian20112014</t>
  </si>
  <si>
    <t>Hawaiian20122014</t>
  </si>
  <si>
    <t>Hawaiian20132014</t>
  </si>
  <si>
    <t>Hisp20042014</t>
  </si>
  <si>
    <t>Hisp20052014</t>
  </si>
  <si>
    <t>Hisp20062014</t>
  </si>
  <si>
    <t>Hisp20072014</t>
  </si>
  <si>
    <t>Hisp20082014</t>
  </si>
  <si>
    <t>Hisp20092014</t>
  </si>
  <si>
    <t>Hisp20102014</t>
  </si>
  <si>
    <t>Hisp20112014</t>
  </si>
  <si>
    <t>Hisp20122014</t>
  </si>
  <si>
    <t>Hisp20132014</t>
  </si>
  <si>
    <t>Male20042014</t>
  </si>
  <si>
    <t>Male20052014</t>
  </si>
  <si>
    <t>Male20062014</t>
  </si>
  <si>
    <t>Male20072014</t>
  </si>
  <si>
    <t>Male20082014</t>
  </si>
  <si>
    <t>Male20092014</t>
  </si>
  <si>
    <t>Male20102014</t>
  </si>
  <si>
    <t>Male20112014</t>
  </si>
  <si>
    <t>Male20122014</t>
  </si>
  <si>
    <t>Male20132014</t>
  </si>
  <si>
    <t>Multi20082014</t>
  </si>
  <si>
    <t>Multi20092014</t>
  </si>
  <si>
    <t>Multi20102014</t>
  </si>
  <si>
    <t>Multi20112014</t>
  </si>
  <si>
    <t>Multi20122014</t>
  </si>
  <si>
    <t>Multi20132014</t>
  </si>
  <si>
    <t>N R20042014</t>
  </si>
  <si>
    <t>N R20052014</t>
  </si>
  <si>
    <t>N R20062014</t>
  </si>
  <si>
    <t>N R20072014</t>
  </si>
  <si>
    <t>N R20082014</t>
  </si>
  <si>
    <t>N R20092014</t>
  </si>
  <si>
    <t>N R20102014</t>
  </si>
  <si>
    <t>N R20112014</t>
  </si>
  <si>
    <t>N R20122014</t>
  </si>
  <si>
    <t>N R20132014</t>
  </si>
  <si>
    <t>Total20042014</t>
  </si>
  <si>
    <t>Total20052014</t>
  </si>
  <si>
    <t>Total20062014</t>
  </si>
  <si>
    <t>Total20072014</t>
  </si>
  <si>
    <t>Total20082014</t>
  </si>
  <si>
    <t>Total20092014</t>
  </si>
  <si>
    <t>Total20102014</t>
  </si>
  <si>
    <t>Total20112014</t>
  </si>
  <si>
    <t>Total20122014</t>
  </si>
  <si>
    <t>Total20132014</t>
  </si>
  <si>
    <t>Unknown20042014</t>
  </si>
  <si>
    <t>Unknown20052014</t>
  </si>
  <si>
    <t>Unknown20062014</t>
  </si>
  <si>
    <t>Unknown20072014</t>
  </si>
  <si>
    <t>Unknown20082014</t>
  </si>
  <si>
    <t>Unknown20092014</t>
  </si>
  <si>
    <t>Unknown20102014</t>
  </si>
  <si>
    <t>Unknown20112014</t>
  </si>
  <si>
    <t>Unknown20122014</t>
  </si>
  <si>
    <t>Unknown20132014</t>
  </si>
  <si>
    <t>White20042014</t>
  </si>
  <si>
    <t>White20052014</t>
  </si>
  <si>
    <t>White20062014</t>
  </si>
  <si>
    <t>White20072014</t>
  </si>
  <si>
    <t>White20082014</t>
  </si>
  <si>
    <t>White20092014</t>
  </si>
  <si>
    <t>White20102014</t>
  </si>
  <si>
    <t>White20112014</t>
  </si>
  <si>
    <t>White20122014</t>
  </si>
  <si>
    <t>White20132014</t>
  </si>
  <si>
    <t>new</t>
  </si>
  <si>
    <t>Data in cell is either &lt;0 or &gt;100. Please check for typo.</t>
  </si>
  <si>
    <t>Male headcount plus Female headcount does not equal Total cohort headcount in a given year. If you have students who did not report gender, please note here.</t>
  </si>
  <si>
    <t>For more details about alerts, please see Section I Checklist tab.</t>
  </si>
  <si>
    <t>Multi20082009</t>
  </si>
  <si>
    <t>Hawaiian20082009</t>
  </si>
  <si>
    <t>10.</t>
  </si>
  <si>
    <t>Blank cell where typically should be data</t>
  </si>
  <si>
    <t>Rate or score appears in cell whose headcount is zero (0) or blank. Please remove all data in rows where the headcount is zero (0) or blank.</t>
  </si>
  <si>
    <t>Graduation rate decreases. Since graduation rates are cumulative, they should be progressively higher or remain the same. The alert may be due to rounding. Please adjust the rate as necessary.</t>
  </si>
  <si>
    <r>
      <t xml:space="preserve">Continuation rate plus graduation rate is greater than 100% for that year. (e.g. Graduated in 4 years + Continued to 5th year &gt; 100%) 
Each student should be included in </t>
    </r>
    <r>
      <rPr>
        <i/>
        <sz val="10"/>
        <color theme="0"/>
        <rFont val="Arial"/>
        <family val="2"/>
      </rPr>
      <t>either</t>
    </r>
    <r>
      <rPr>
        <sz val="10"/>
        <color theme="0"/>
        <rFont val="Arial"/>
        <family val="2"/>
      </rPr>
      <t xml:space="preserve"> the graduation </t>
    </r>
    <r>
      <rPr>
        <i/>
        <sz val="10"/>
        <color theme="0"/>
        <rFont val="Arial"/>
        <family val="2"/>
      </rPr>
      <t>or</t>
    </r>
    <r>
      <rPr>
        <sz val="10"/>
        <color theme="0"/>
        <rFont val="Arial"/>
        <family val="2"/>
      </rPr>
      <t xml:space="preserve"> the continuation rate, not both, even if they continue for a second degree. Once they have graduated, they will only be reported in the graduation rate, and not in future continuation rates.</t>
    </r>
  </si>
  <si>
    <t>There is an inconsistency between the Male and Female rates and the Total cohort rate. (Female count*rate) + (Male count*rate) &lt;&gt; (Total count*rate). Check for typo in the corresponding Total, Male, and Female headcount and rate cells.</t>
  </si>
  <si>
    <t>The total of all ethnic headcounts do not equal the Total cohort headcount for that year. Beginning in 2010, the sum of the ethnic headcounts should equal the headcount for the Total cohort. They may not match if you did not report data for the Unknown, Hawaiian, and/or Multi cohorts.</t>
  </si>
  <si>
    <t xml:space="preserve">Please check your ACT/SAT score for accuracy. If there is no score to report, the cell should be left blank. Please do not enter "0" or "NA". </t>
  </si>
  <si>
    <t>If you have a flat ASCII file which contains the data, you can easily import it into an Excel spreadsheet and then copy it into Section I. Be sure to use the "paste special" and "paste values" options when pasting into the sheet in order to preserve the formatting. This is critical!</t>
  </si>
  <si>
    <r>
      <t>◘ This sheet is an alternative way to push data into the Section I sheet.</t>
    </r>
    <r>
      <rPr>
        <sz val="8"/>
        <rFont val="Arial"/>
        <family val="2"/>
      </rPr>
      <t xml:space="preserve"> 
</t>
    </r>
    <r>
      <rPr>
        <sz val="9"/>
        <rFont val="Arial"/>
        <family val="2"/>
      </rPr>
      <t xml:space="preserve">◘ </t>
    </r>
    <r>
      <rPr>
        <b/>
        <u/>
        <sz val="9"/>
        <rFont val="Arial"/>
        <family val="2"/>
      </rPr>
      <t>This sheet is optional</t>
    </r>
    <r>
      <rPr>
        <sz val="9"/>
        <rFont val="Arial"/>
        <family val="2"/>
      </rPr>
      <t xml:space="preserve"> as you can continue to put your data into the Section I sheet if you prefer. In that case you can ignore this sheet and the rest of this description.   
◘ If using this method for completing the data, do not enter any data into the Section I worksheet as it will remove the formulas needed to pull the data from this worksheet.                       
◘ If you use this sheet, the data you enter will get updated to the Section I sheet so that you can see it in the original format. The Section I sheet is also where you would see any validation errors. This sheet is simply an alternative way to get data into the Section I sheet.
◘ This sheet allows you to paste your data into single columns in continuous rows instead of the offset column structure of the Section I sheet. In this way you can paste your new data without overwriting historic data. Alternatively, you can enter custom functions in this sheet to join to your data as needed without affecting formatting in the Section I sheet.
◘ This sheet is sortable to allow you to get this sheet in the same order as your source data and to aid in comparison.
◘ There are two tables on this sheet. The first is for data that only gets entered once per cohort (Headcount, ACT, SAT). The second is for Continuation rates and Graduation rates that get updated for the various follow-up years of each cohort. 
◘ See Definitions tab for details on reporting Continuation rates and Graduation rates.
◘ The Lookup Key column in both tables is a concatenation of the identity columns for each row so that it can be used in VLookup and Match functions from your data to this sheet and from this sheet to the Section I sheet. You may ignore it if you do not need it. 
◘ Be aware that if you filter rows out and try to paste in new data, Excel simply hides filtered rows and some of your data may get put into hidden rows. Do not filter rows when copying and pasting data into this worksheet. If you want to paste data you may sort this sheet in the order to match your source data and then paste the new data in this way without filtering any rows. You would simply sort the rows you don't need to the end and paste your data starting on the appropriate row. </t>
    </r>
  </si>
  <si>
    <t>This cell should typically contain data. This alert may appear in the Hawaiian, Multi, and/or Unknown cohorts prior to 2010 if you did not provide data for them.</t>
  </si>
  <si>
    <r>
      <t xml:space="preserve">This survey collects data on first-time, full-time freshmen only. However, if you did include part-time students in the headcounts of the cohorts you reported, </t>
    </r>
    <r>
      <rPr>
        <b/>
        <sz val="10"/>
        <rFont val="Arial"/>
        <family val="2"/>
      </rPr>
      <t>on average</t>
    </r>
    <r>
      <rPr>
        <sz val="10"/>
        <rFont val="Arial"/>
        <family val="2"/>
      </rPr>
      <t xml:space="preserve"> what percentage of students in your initial Total headcounts are part-time?</t>
    </r>
  </si>
  <si>
    <r>
      <t xml:space="preserve">Please review your data by checking the Section I worksheet for color alerts before submitting your survey to CSRDE. These colored cells indicate </t>
    </r>
    <r>
      <rPr>
        <i/>
        <sz val="10"/>
        <rFont val="Arial"/>
        <family val="2"/>
      </rPr>
      <t>possible</t>
    </r>
    <r>
      <rPr>
        <sz val="10"/>
        <rFont val="Arial"/>
        <family val="2"/>
      </rPr>
      <t xml:space="preserve"> errors, although there are conditions under which the data may be correct. More information on the alerts is given below.
If colored cells still appear after making any necessary changes, you may need to click on a different tab to refresh the page.</t>
    </r>
  </si>
  <si>
    <t>Continuation rate increases for a specific cohort from one year to the next instead of being lower than or equal to the previous year’s rate.
This common alert is usually due to stop outs who returned, especially in small cohorts, but could indicate a larger problem or typo. If these alerts are due to stop-outs, please just note "Stop Outs" here.</t>
  </si>
  <si>
    <t>U of North Alabama</t>
  </si>
  <si>
    <t>Molly Vaughn</t>
  </si>
  <si>
    <t>mjmathis@una.edu</t>
  </si>
  <si>
    <t>256.765.4343</t>
  </si>
  <si>
    <t>Stop-Outs</t>
  </si>
  <si>
    <t>did not include part-time students</t>
  </si>
  <si>
    <t>University of North Alabama</t>
  </si>
  <si>
    <t>www.una.edu</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</si>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</sst>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lt;=9999999]###\-####;\(###\)\ ###\-####"/>
    <numFmt numFmtId="167" formatCode="0000"/>
  </numFmts>
  <fonts count="39" x14ac:knownFonts="1">
    <font>
      <sz val="10"/>
      <name val="Arial"/>
      <family val="2"/>
    </font>
    <font>
      <sz val="10"/>
      <name val="Arial"/>
      <family val="2"/>
    </font>
    <font>
      <sz val="12"/>
      <name val="Arial"/>
      <family val="2"/>
    </font>
    <font>
      <sz val="16"/>
      <name val="Arial"/>
      <family val="2"/>
    </font>
    <font>
      <u/>
      <sz val="10"/>
      <name val="Arial"/>
      <family val="2"/>
    </font>
    <font>
      <sz val="8"/>
      <name val="Arial"/>
      <family val="2"/>
    </font>
    <font>
      <b/>
      <sz val="10"/>
      <name val="Arial"/>
      <family val="2"/>
    </font>
    <font>
      <i/>
      <sz val="12"/>
      <name val="Arial"/>
      <family val="2"/>
    </font>
    <font>
      <sz val="13"/>
      <name val="Arial"/>
      <family val="2"/>
    </font>
    <font>
      <sz val="14"/>
      <name val="Arial"/>
      <family val="2"/>
    </font>
    <font>
      <b/>
      <u/>
      <sz val="10"/>
      <name val="Arial"/>
      <family val="2"/>
    </font>
    <font>
      <i/>
      <sz val="10"/>
      <name val="Arial"/>
      <family val="2"/>
    </font>
    <font>
      <b/>
      <sz val="12"/>
      <name val="Arial"/>
      <family val="2"/>
    </font>
    <font>
      <sz val="8"/>
      <color indexed="81"/>
      <name val="Tahoma"/>
      <family val="2"/>
    </font>
    <font>
      <b/>
      <sz val="8"/>
      <color indexed="81"/>
      <name val="Tahoma"/>
      <family val="2"/>
    </font>
    <font>
      <b/>
      <i/>
      <sz val="10"/>
      <name val="Arial"/>
      <family val="2"/>
    </font>
    <font>
      <b/>
      <sz val="13"/>
      <name val="Arial"/>
      <family val="2"/>
    </font>
    <font>
      <u/>
      <sz val="10"/>
      <color indexed="12"/>
      <name val="Arial"/>
      <family val="2"/>
    </font>
    <font>
      <b/>
      <sz val="9"/>
      <name val="Arial"/>
      <family val="2"/>
    </font>
    <font>
      <sz val="9"/>
      <name val="Arial"/>
      <family val="2"/>
    </font>
    <font>
      <sz val="10"/>
      <name val="Arial"/>
      <family val="2"/>
    </font>
    <font>
      <sz val="11"/>
      <name val="Arial"/>
      <family val="2"/>
    </font>
    <font>
      <i/>
      <sz val="11"/>
      <name val="Arial"/>
      <family val="2"/>
    </font>
    <font>
      <b/>
      <sz val="11"/>
      <name val="Arial"/>
      <family val="2"/>
    </font>
    <font>
      <sz val="10"/>
      <name val="Arial"/>
      <family val="2"/>
    </font>
    <font>
      <b/>
      <i/>
      <u/>
      <sz val="10"/>
      <name val="Arial"/>
      <family val="2"/>
    </font>
    <font>
      <sz val="10"/>
      <color theme="3" tint="0.59999389629810485"/>
      <name val="Arial"/>
      <family val="2"/>
    </font>
    <font>
      <sz val="10"/>
      <color theme="0"/>
      <name val="Arial"/>
      <family val="2"/>
    </font>
    <font>
      <sz val="14"/>
      <color theme="0"/>
      <name val="Arial"/>
      <family val="2"/>
    </font>
    <font>
      <b/>
      <sz val="10"/>
      <color theme="0"/>
      <name val="Arial"/>
      <family val="2"/>
    </font>
    <font>
      <sz val="10"/>
      <color theme="1"/>
      <name val="Arial"/>
      <family val="2"/>
    </font>
    <font>
      <b/>
      <sz val="10"/>
      <name val="Calibri"/>
      <family val="2"/>
    </font>
    <font>
      <b/>
      <u/>
      <sz val="9"/>
      <name val="Arial"/>
      <family val="2"/>
    </font>
    <font>
      <sz val="10"/>
      <color rgb="FF333333"/>
      <name val="Verdana"/>
      <family val="2"/>
    </font>
    <font>
      <u/>
      <sz val="8"/>
      <name val="Arial"/>
      <family val="2"/>
    </font>
    <font>
      <sz val="8.5"/>
      <name val="Arial"/>
      <family val="2"/>
    </font>
    <font>
      <u/>
      <sz val="8.5"/>
      <name val="Arial"/>
      <family val="2"/>
    </font>
    <font>
      <b/>
      <sz val="9"/>
      <color indexed="81"/>
      <name val="Tahoma"/>
      <family val="2"/>
    </font>
    <font>
      <i/>
      <sz val="10"/>
      <color theme="0"/>
      <name val="Arial"/>
      <family val="2"/>
    </font>
  </fonts>
  <fills count="2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rgb="FFF9B277"/>
        <bgColor indexed="64"/>
      </patternFill>
    </fill>
    <fill>
      <patternFill patternType="solid">
        <fgColor theme="0"/>
        <bgColor indexed="64"/>
      </patternFill>
    </fill>
    <fill>
      <patternFill patternType="solid">
        <fgColor theme="5" tint="-0.499984740745262"/>
        <bgColor indexed="64"/>
      </patternFill>
    </fill>
    <fill>
      <patternFill patternType="solid">
        <fgColor theme="5"/>
        <bgColor theme="5"/>
      </patternFill>
    </fill>
    <fill>
      <patternFill patternType="solid">
        <fgColor rgb="FFCCECFF"/>
        <bgColor indexed="64"/>
      </patternFill>
    </fill>
    <fill>
      <patternFill patternType="solid">
        <fgColor rgb="FFFFCCCC"/>
        <bgColor indexed="64"/>
      </patternFill>
    </fill>
    <fill>
      <patternFill patternType="solid">
        <fgColor rgb="FFA3C4EB"/>
        <bgColor indexed="64"/>
      </patternFill>
    </fill>
    <fill>
      <patternFill patternType="solid">
        <fgColor rgb="FFFF9FFF"/>
        <bgColor indexed="64"/>
      </patternFill>
    </fill>
    <fill>
      <patternFill patternType="solid">
        <fgColor rgb="FFC2A1E7"/>
        <bgColor indexed="64"/>
      </patternFill>
    </fill>
    <fill>
      <patternFill patternType="solid">
        <fgColor rgb="FFB3F8A0"/>
        <bgColor indexed="64"/>
      </patternFill>
    </fill>
    <fill>
      <patternFill patternType="solid">
        <fgColor rgb="FFC6DB91"/>
        <bgColor indexed="64"/>
      </patternFill>
    </fill>
    <fill>
      <patternFill patternType="solid">
        <fgColor rgb="FF1CC297"/>
        <bgColor indexed="64"/>
      </patternFill>
    </fill>
    <fill>
      <patternFill patternType="solid">
        <fgColor rgb="FFF7E563"/>
        <bgColor indexed="64"/>
      </patternFill>
    </fill>
    <fill>
      <patternFill patternType="solid">
        <fgColor theme="4" tint="0.79998168889431442"/>
        <bgColor indexed="64"/>
      </patternFill>
    </fill>
    <fill>
      <patternFill patternType="solid">
        <fgColor rgb="FFCCFFCC"/>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medium">
        <color indexed="64"/>
      </top>
      <bottom/>
      <diagonal/>
    </border>
    <border>
      <left/>
      <right/>
      <top style="medium">
        <color theme="1"/>
      </top>
      <bottom/>
      <diagonal/>
    </border>
    <border>
      <left/>
      <right/>
      <top style="medium">
        <color indexed="64"/>
      </top>
      <bottom style="medium">
        <color theme="1"/>
      </bottom>
      <diagonal/>
    </border>
    <border>
      <left/>
      <right/>
      <top style="medium">
        <color theme="1"/>
      </top>
      <bottom style="medium">
        <color theme="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theme="1"/>
      </bottom>
      <diagonal/>
    </border>
    <border>
      <left/>
      <right style="medium">
        <color indexed="64"/>
      </right>
      <top style="medium">
        <color indexed="64"/>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7"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389">
    <xf numFmtId="0" fontId="0" fillId="0" borderId="0" xfId="0"/>
    <xf numFmtId="0" fontId="0" fillId="2" borderId="0" xfId="0" applyFill="1" applyProtection="1"/>
    <xf numFmtId="0" fontId="0" fillId="2" borderId="0" xfId="0" applyFill="1"/>
    <xf numFmtId="0" fontId="0" fillId="2" borderId="0" xfId="0" applyFill="1" applyBorder="1"/>
    <xf numFmtId="0" fontId="0" fillId="2" borderId="1" xfId="0" applyFill="1" applyBorder="1" applyProtection="1">
      <protection locked="0"/>
    </xf>
    <xf numFmtId="0" fontId="0" fillId="2" borderId="0" xfId="0" applyFill="1" applyBorder="1" applyProtection="1"/>
    <xf numFmtId="0" fontId="0" fillId="2" borderId="2" xfId="0" applyFill="1" applyBorder="1" applyProtection="1">
      <protection locked="0"/>
    </xf>
    <xf numFmtId="0" fontId="12" fillId="2" borderId="0" xfId="0" applyFont="1" applyFill="1" applyBorder="1" applyAlignment="1">
      <alignment horizontal="center"/>
    </xf>
    <xf numFmtId="0" fontId="9" fillId="2" borderId="0" xfId="0" applyFont="1" applyFill="1"/>
    <xf numFmtId="49" fontId="0" fillId="2" borderId="0" xfId="0" applyNumberFormat="1" applyFill="1" applyAlignment="1"/>
    <xf numFmtId="0" fontId="6" fillId="2" borderId="0" xfId="0" applyFont="1" applyFill="1"/>
    <xf numFmtId="0" fontId="15" fillId="2" borderId="0" xfId="0" applyFont="1" applyFill="1" applyAlignment="1"/>
    <xf numFmtId="0" fontId="11" fillId="2" borderId="0" xfId="0" applyFont="1" applyFill="1" applyAlignment="1"/>
    <xf numFmtId="49" fontId="0" fillId="2" borderId="0" xfId="0" applyNumberFormat="1" applyFill="1"/>
    <xf numFmtId="0" fontId="0" fillId="0" borderId="0" xfId="0" applyProtection="1"/>
    <xf numFmtId="0" fontId="1" fillId="0" borderId="0" xfId="0" applyFont="1"/>
    <xf numFmtId="0" fontId="1" fillId="0" borderId="0" xfId="0" applyFont="1" applyBorder="1"/>
    <xf numFmtId="0" fontId="1" fillId="2" borderId="0" xfId="0" applyFont="1" applyFill="1"/>
    <xf numFmtId="49" fontId="18" fillId="0" borderId="0" xfId="0" applyNumberFormat="1" applyFont="1" applyFill="1" applyAlignment="1">
      <alignment horizontal="left"/>
    </xf>
    <xf numFmtId="0" fontId="18" fillId="0" borderId="0" xfId="0" applyFont="1" applyFill="1"/>
    <xf numFmtId="0" fontId="0" fillId="2" borderId="0" xfId="0" applyFill="1" applyAlignment="1">
      <alignment horizontal="left"/>
    </xf>
    <xf numFmtId="0" fontId="19" fillId="2" borderId="0" xfId="0" applyFont="1" applyFill="1" applyAlignment="1"/>
    <xf numFmtId="0" fontId="5" fillId="2" borderId="0" xfId="0" applyFont="1" applyFill="1" applyAlignment="1"/>
    <xf numFmtId="49" fontId="0" fillId="2" borderId="0" xfId="0" applyNumberFormat="1" applyFill="1" applyAlignment="1" applyProtection="1"/>
    <xf numFmtId="0" fontId="0" fillId="2" borderId="0" xfId="0" applyFill="1" applyAlignment="1" applyProtection="1">
      <alignment horizontal="left"/>
    </xf>
    <xf numFmtId="0" fontId="0" fillId="0" borderId="1" xfId="0" applyFill="1" applyBorder="1" applyAlignment="1" applyProtection="1"/>
    <xf numFmtId="0" fontId="0" fillId="0" borderId="0" xfId="0" applyFill="1"/>
    <xf numFmtId="0" fontId="7" fillId="0" borderId="0" xfId="0" applyNumberFormat="1" applyFont="1" applyAlignment="1"/>
    <xf numFmtId="0" fontId="7" fillId="0" borderId="0" xfId="0" applyNumberFormat="1" applyFont="1" applyAlignment="1">
      <alignment horizontal="right"/>
    </xf>
    <xf numFmtId="49" fontId="1" fillId="0" borderId="0" xfId="0" applyNumberFormat="1" applyFont="1" applyAlignment="1">
      <alignment horizontal="left"/>
    </xf>
    <xf numFmtId="0" fontId="0" fillId="2" borderId="0" xfId="0" applyFill="1" applyAlignment="1">
      <alignment horizontal="right"/>
    </xf>
    <xf numFmtId="0" fontId="0" fillId="0" borderId="0" xfId="0" applyBorder="1"/>
    <xf numFmtId="49" fontId="0" fillId="0" borderId="0" xfId="0" applyNumberFormat="1" applyFill="1" applyBorder="1" applyAlignment="1">
      <alignment horizontal="left"/>
    </xf>
    <xf numFmtId="49" fontId="0" fillId="2" borderId="0" xfId="0" applyNumberFormat="1" applyFill="1" applyAlignment="1">
      <alignment horizontal="left"/>
    </xf>
    <xf numFmtId="49" fontId="1" fillId="0" borderId="0" xfId="0" applyNumberFormat="1" applyFont="1" applyAlignment="1">
      <alignment horizontal="left" vertical="top"/>
    </xf>
    <xf numFmtId="0" fontId="1" fillId="0" borderId="0" xfId="0" applyFont="1" applyAlignment="1">
      <alignment horizontal="left" vertical="top"/>
    </xf>
    <xf numFmtId="0" fontId="1" fillId="0" borderId="0" xfId="0" applyFont="1" applyAlignment="1">
      <alignment horizontal="center" wrapText="1"/>
    </xf>
    <xf numFmtId="0" fontId="1" fillId="0" borderId="0" xfId="0" applyFont="1" applyAlignment="1">
      <alignment horizontal="left"/>
    </xf>
    <xf numFmtId="0" fontId="1" fillId="0" borderId="0" xfId="0" applyFont="1" applyAlignment="1">
      <alignment horizontal="right"/>
    </xf>
    <xf numFmtId="164" fontId="1" fillId="0" borderId="0" xfId="0" applyNumberFormat="1" applyFont="1"/>
    <xf numFmtId="0" fontId="22" fillId="0" borderId="0" xfId="0" applyNumberFormat="1" applyFont="1" applyAlignment="1">
      <alignment horizontal="left"/>
    </xf>
    <xf numFmtId="49" fontId="22" fillId="0" borderId="0" xfId="0" applyNumberFormat="1" applyFont="1" applyAlignment="1">
      <alignment horizontal="left"/>
    </xf>
    <xf numFmtId="0" fontId="0" fillId="2" borderId="0" xfId="0" applyFill="1" applyAlignment="1" applyProtection="1">
      <alignment horizontal="center"/>
    </xf>
    <xf numFmtId="0" fontId="0" fillId="2" borderId="0" xfId="0" applyFont="1" applyFill="1" applyBorder="1" applyAlignment="1">
      <alignment horizontal="right" vertical="top" wrapText="1"/>
    </xf>
    <xf numFmtId="0" fontId="0" fillId="2" borderId="0" xfId="0" applyFont="1" applyFill="1" applyBorder="1" applyAlignment="1">
      <alignment vertical="top" wrapText="1"/>
    </xf>
    <xf numFmtId="0" fontId="0" fillId="2" borderId="7" xfId="0" applyFill="1" applyBorder="1" applyAlignment="1">
      <alignment vertical="top" wrapText="1"/>
    </xf>
    <xf numFmtId="0" fontId="0" fillId="2" borderId="7" xfId="0" applyFont="1" applyFill="1" applyBorder="1" applyAlignment="1">
      <alignment horizontal="right" vertical="top" wrapText="1"/>
    </xf>
    <xf numFmtId="49" fontId="0" fillId="2" borderId="7" xfId="0" applyNumberFormat="1" applyFill="1" applyBorder="1" applyAlignment="1">
      <alignment horizontal="right" vertical="top" wrapText="1"/>
    </xf>
    <xf numFmtId="0" fontId="23" fillId="2" borderId="0" xfId="0" applyFont="1" applyFill="1" applyAlignment="1">
      <alignment horizontal="right" vertical="center"/>
    </xf>
    <xf numFmtId="0" fontId="23" fillId="2" borderId="0" xfId="0" applyFont="1" applyFill="1" applyAlignment="1">
      <alignment horizontal="right"/>
    </xf>
    <xf numFmtId="0" fontId="6" fillId="2" borderId="0" xfId="0" applyFont="1" applyFill="1" applyBorder="1" applyAlignment="1">
      <alignment horizontal="center" vertical="center"/>
    </xf>
    <xf numFmtId="49" fontId="18" fillId="0" borderId="0" xfId="0" applyNumberFormat="1" applyFont="1" applyFill="1" applyBorder="1" applyAlignment="1">
      <alignment horizontal="left"/>
    </xf>
    <xf numFmtId="0" fontId="18" fillId="0" borderId="0" xfId="0" applyFont="1" applyFill="1" applyBorder="1"/>
    <xf numFmtId="0" fontId="18" fillId="0" borderId="0" xfId="0" applyFont="1" applyFill="1" applyBorder="1" applyAlignment="1">
      <alignment horizontal="center" wrapText="1"/>
    </xf>
    <xf numFmtId="49" fontId="18" fillId="0" borderId="0" xfId="0" applyNumberFormat="1" applyFont="1" applyFill="1" applyBorder="1" applyAlignment="1">
      <alignment horizontal="center"/>
    </xf>
    <xf numFmtId="49" fontId="18" fillId="0" borderId="0" xfId="0" applyNumberFormat="1" applyFont="1" applyFill="1" applyBorder="1" applyAlignment="1">
      <alignment horizontal="right"/>
    </xf>
    <xf numFmtId="0" fontId="0" fillId="2" borderId="1" xfId="0" applyNumberFormat="1" applyFill="1" applyBorder="1" applyProtection="1">
      <protection locked="0"/>
    </xf>
    <xf numFmtId="2" fontId="0" fillId="2" borderId="1" xfId="0" applyNumberFormat="1" applyFill="1" applyBorder="1" applyProtection="1">
      <protection locked="0"/>
    </xf>
    <xf numFmtId="1" fontId="24" fillId="0" borderId="0" xfId="0" applyNumberFormat="1" applyFont="1" applyBorder="1" applyAlignment="1" applyProtection="1">
      <alignment horizontal="right"/>
      <protection locked="0"/>
    </xf>
    <xf numFmtId="0" fontId="25" fillId="2" borderId="0" xfId="0" applyFont="1" applyFill="1" applyAlignment="1">
      <alignment horizontal="left" wrapText="1"/>
    </xf>
    <xf numFmtId="1" fontId="1" fillId="0" borderId="0" xfId="0" applyNumberFormat="1" applyFont="1" applyFill="1" applyBorder="1" applyAlignment="1" applyProtection="1">
      <alignment horizontal="right"/>
      <protection locked="0"/>
    </xf>
    <xf numFmtId="164" fontId="24" fillId="0" borderId="0" xfId="0" applyNumberFormat="1" applyFont="1" applyBorder="1" applyAlignment="1" applyProtection="1">
      <alignment horizontal="right"/>
      <protection locked="0"/>
    </xf>
    <xf numFmtId="164" fontId="18" fillId="0" borderId="0" xfId="0" applyNumberFormat="1" applyFont="1" applyFill="1" applyBorder="1" applyAlignment="1">
      <alignment horizontal="right"/>
    </xf>
    <xf numFmtId="164" fontId="24" fillId="0" borderId="0" xfId="0" applyNumberFormat="1" applyFont="1" applyFill="1" applyBorder="1" applyAlignment="1" applyProtection="1">
      <protection locked="0"/>
    </xf>
    <xf numFmtId="164" fontId="1" fillId="0" borderId="0" xfId="0" applyNumberFormat="1" applyFont="1" applyFill="1" applyBorder="1" applyProtection="1">
      <protection locked="0"/>
    </xf>
    <xf numFmtId="0" fontId="18" fillId="0" borderId="0" xfId="0" applyFont="1" applyFill="1" applyBorder="1" applyAlignment="1">
      <alignment horizontal="left" wrapText="1"/>
    </xf>
    <xf numFmtId="0" fontId="18" fillId="0" borderId="0" xfId="0" applyFont="1" applyFill="1" applyBorder="1" applyAlignment="1">
      <alignment horizontal="left"/>
    </xf>
    <xf numFmtId="0" fontId="18" fillId="0" borderId="0" xfId="0" applyFont="1" applyFill="1" applyBorder="1" applyAlignment="1">
      <alignment horizontal="right"/>
    </xf>
    <xf numFmtId="164" fontId="1" fillId="0" borderId="9" xfId="0" applyNumberFormat="1" applyFont="1" applyFill="1" applyBorder="1" applyAlignment="1" applyProtection="1">
      <protection locked="0"/>
    </xf>
    <xf numFmtId="164" fontId="1" fillId="0" borderId="0" xfId="0" applyNumberFormat="1" applyFont="1" applyFill="1" applyBorder="1" applyAlignment="1" applyProtection="1">
      <protection locked="0"/>
    </xf>
    <xf numFmtId="164" fontId="24" fillId="0" borderId="0" xfId="0" applyNumberFormat="1" applyFont="1" applyFill="1" applyBorder="1" applyAlignment="1" applyProtection="1">
      <alignment horizontal="right"/>
      <protection locked="0"/>
    </xf>
    <xf numFmtId="164" fontId="1" fillId="0" borderId="0" xfId="0" applyNumberFormat="1" applyFont="1" applyFill="1" applyBorder="1" applyAlignment="1" applyProtection="1">
      <alignment horizontal="right"/>
      <protection locked="0"/>
    </xf>
    <xf numFmtId="164" fontId="1" fillId="0" borderId="9" xfId="0" applyNumberFormat="1" applyFont="1" applyFill="1" applyBorder="1" applyAlignment="1" applyProtection="1">
      <alignment horizontal="right"/>
      <protection locked="0"/>
    </xf>
    <xf numFmtId="0" fontId="1" fillId="2" borderId="0" xfId="0" applyFont="1" applyFill="1" applyAlignment="1">
      <alignment horizontal="right"/>
    </xf>
    <xf numFmtId="0" fontId="0" fillId="0" borderId="0" xfId="0" applyAlignment="1">
      <alignment horizontal="right"/>
    </xf>
    <xf numFmtId="0" fontId="1" fillId="2" borderId="0" xfId="0" applyFont="1" applyFill="1" applyBorder="1" applyAlignment="1"/>
    <xf numFmtId="0" fontId="1" fillId="0" borderId="0" xfId="0" applyFont="1" applyFill="1"/>
    <xf numFmtId="164" fontId="1" fillId="0" borderId="0" xfId="0" applyNumberFormat="1" applyFont="1" applyFill="1"/>
    <xf numFmtId="0" fontId="15" fillId="0" borderId="0" xfId="0" applyNumberFormat="1" applyFont="1" applyFill="1" applyAlignment="1" applyProtection="1">
      <alignment horizontal="left"/>
    </xf>
    <xf numFmtId="0" fontId="15" fillId="0" borderId="0" xfId="0" applyNumberFormat="1" applyFont="1" applyFill="1" applyAlignment="1" applyProtection="1"/>
    <xf numFmtId="0" fontId="11" fillId="0" borderId="0" xfId="0" applyNumberFormat="1" applyFont="1" applyFill="1" applyAlignment="1"/>
    <xf numFmtId="0" fontId="7" fillId="0" borderId="0" xfId="0" applyNumberFormat="1" applyFont="1" applyFill="1" applyAlignment="1"/>
    <xf numFmtId="0" fontId="11" fillId="0" borderId="0" xfId="0" applyNumberFormat="1" applyFont="1" applyFill="1" applyBorder="1" applyAlignment="1"/>
    <xf numFmtId="0" fontId="7" fillId="0" borderId="0" xfId="0" applyNumberFormat="1" applyFont="1" applyFill="1" applyBorder="1" applyAlignment="1"/>
    <xf numFmtId="0" fontId="1" fillId="0" borderId="0" xfId="0" applyFont="1" applyFill="1" applyBorder="1"/>
    <xf numFmtId="0" fontId="1" fillId="0" borderId="0"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0" xfId="0" applyFont="1" applyFill="1" applyBorder="1"/>
    <xf numFmtId="0" fontId="24" fillId="0" borderId="0" xfId="0" applyNumberFormat="1" applyFont="1" applyFill="1" applyBorder="1" applyAlignment="1" applyProtection="1"/>
    <xf numFmtId="164" fontId="20" fillId="0" borderId="0" xfId="0" applyNumberFormat="1" applyFont="1" applyFill="1" applyBorder="1" applyProtection="1">
      <protection locked="0"/>
    </xf>
    <xf numFmtId="164" fontId="20" fillId="0" borderId="0" xfId="0" applyNumberFormat="1" applyFont="1" applyFill="1" applyBorder="1" applyAlignment="1" applyProtection="1">
      <alignment horizontal="right"/>
      <protection locked="0"/>
    </xf>
    <xf numFmtId="1" fontId="24" fillId="0" borderId="0" xfId="0" applyNumberFormat="1" applyFont="1" applyFill="1" applyBorder="1" applyAlignment="1" applyProtection="1">
      <alignment horizontal="right"/>
    </xf>
    <xf numFmtId="165" fontId="24" fillId="0" borderId="0" xfId="0" applyNumberFormat="1" applyFont="1" applyFill="1" applyBorder="1" applyAlignment="1" applyProtection="1">
      <alignment horizontal="right"/>
    </xf>
    <xf numFmtId="164" fontId="24" fillId="0" borderId="0" xfId="0" applyNumberFormat="1" applyFont="1" applyFill="1" applyBorder="1" applyAlignment="1" applyProtection="1">
      <alignment horizontal="right"/>
    </xf>
    <xf numFmtId="0" fontId="24" fillId="0" borderId="0" xfId="0" applyFont="1" applyFill="1" applyBorder="1" applyProtection="1"/>
    <xf numFmtId="0" fontId="1" fillId="0" borderId="0" xfId="0" applyFont="1" applyFill="1" applyBorder="1" applyProtection="1"/>
    <xf numFmtId="49" fontId="0" fillId="0" borderId="0" xfId="0" applyNumberFormat="1" applyFont="1" applyFill="1" applyBorder="1" applyAlignment="1" applyProtection="1">
      <alignment horizontal="left"/>
    </xf>
    <xf numFmtId="1" fontId="0" fillId="0" borderId="0" xfId="0" applyNumberFormat="1" applyFont="1" applyBorder="1" applyAlignment="1">
      <alignment horizontal="left"/>
    </xf>
    <xf numFmtId="165" fontId="1" fillId="0" borderId="0" xfId="0" applyNumberFormat="1" applyFont="1" applyBorder="1" applyAlignment="1" applyProtection="1">
      <alignment horizontal="right"/>
      <protection locked="0"/>
    </xf>
    <xf numFmtId="1" fontId="1" fillId="0" borderId="0" xfId="0" applyNumberFormat="1" applyFont="1" applyBorder="1" applyAlignment="1" applyProtection="1">
      <alignment horizontal="right"/>
      <protection locked="0"/>
    </xf>
    <xf numFmtId="164" fontId="1" fillId="0" borderId="0" xfId="0" applyNumberFormat="1" applyFont="1" applyBorder="1" applyAlignment="1" applyProtection="1">
      <alignment horizontal="right"/>
      <protection locked="0"/>
    </xf>
    <xf numFmtId="49" fontId="1" fillId="0" borderId="0" xfId="0" applyNumberFormat="1" applyFont="1" applyBorder="1" applyAlignment="1" applyProtection="1">
      <alignment horizontal="left" wrapText="1"/>
    </xf>
    <xf numFmtId="1" fontId="0" fillId="0" borderId="0" xfId="0" applyNumberFormat="1" applyFont="1" applyBorder="1" applyAlignment="1" applyProtection="1">
      <alignment horizontal="left"/>
    </xf>
    <xf numFmtId="1" fontId="0" fillId="0" borderId="0" xfId="0" applyNumberFormat="1" applyFont="1" applyBorder="1" applyAlignment="1" applyProtection="1">
      <alignment horizontal="right"/>
      <protection locked="0"/>
    </xf>
    <xf numFmtId="1" fontId="20" fillId="0" borderId="0" xfId="0" applyNumberFormat="1" applyFont="1" applyBorder="1" applyAlignment="1" applyProtection="1">
      <alignment horizontal="right"/>
      <protection locked="0"/>
    </xf>
    <xf numFmtId="165" fontId="20" fillId="0" borderId="0" xfId="0" applyNumberFormat="1" applyFont="1" applyBorder="1" applyAlignment="1" applyProtection="1">
      <alignment horizontal="right"/>
      <protection locked="0"/>
    </xf>
    <xf numFmtId="164" fontId="20" fillId="0" borderId="0" xfId="0" applyNumberFormat="1" applyFont="1" applyBorder="1" applyAlignment="1" applyProtection="1">
      <alignment horizontal="right"/>
      <protection locked="0"/>
    </xf>
    <xf numFmtId="164" fontId="20" fillId="0" borderId="0" xfId="0" applyNumberFormat="1" applyFont="1" applyFill="1" applyBorder="1" applyAlignment="1" applyProtection="1">
      <protection locked="0"/>
    </xf>
    <xf numFmtId="49" fontId="1" fillId="0" borderId="0" xfId="0" applyNumberFormat="1" applyFont="1" applyFill="1" applyBorder="1" applyAlignment="1" applyProtection="1">
      <alignment horizontal="left" wrapText="1"/>
    </xf>
    <xf numFmtId="49" fontId="1" fillId="0" borderId="0" xfId="0" applyNumberFormat="1" applyFont="1" applyFill="1" applyBorder="1" applyAlignment="1" applyProtection="1">
      <alignment horizontal="left"/>
    </xf>
    <xf numFmtId="1" fontId="0" fillId="0" borderId="9" xfId="0" applyNumberFormat="1" applyFont="1" applyBorder="1" applyAlignment="1" applyProtection="1">
      <alignment horizontal="left"/>
    </xf>
    <xf numFmtId="1" fontId="1" fillId="0" borderId="9" xfId="0" applyNumberFormat="1" applyFont="1" applyFill="1" applyBorder="1" applyAlignment="1" applyProtection="1">
      <alignment horizontal="right"/>
      <protection locked="0"/>
    </xf>
    <xf numFmtId="165" fontId="1" fillId="0" borderId="9" xfId="0" applyNumberFormat="1" applyFont="1" applyBorder="1" applyAlignment="1" applyProtection="1">
      <alignment horizontal="right"/>
      <protection locked="0"/>
    </xf>
    <xf numFmtId="164" fontId="1" fillId="0" borderId="9" xfId="0" applyNumberFormat="1" applyFont="1" applyBorder="1" applyAlignment="1" applyProtection="1">
      <alignment horizontal="right"/>
      <protection locked="0"/>
    </xf>
    <xf numFmtId="49" fontId="1" fillId="0" borderId="3" xfId="0" applyNumberFormat="1" applyFont="1" applyBorder="1" applyAlignment="1" applyProtection="1">
      <alignment horizontal="left" wrapText="1"/>
    </xf>
    <xf numFmtId="1" fontId="0" fillId="0" borderId="3" xfId="0" applyNumberFormat="1" applyFont="1" applyBorder="1" applyAlignment="1">
      <alignment horizontal="left"/>
    </xf>
    <xf numFmtId="165" fontId="1" fillId="0" borderId="3" xfId="0" applyNumberFormat="1" applyFont="1" applyBorder="1" applyAlignment="1" applyProtection="1">
      <alignment horizontal="right"/>
      <protection locked="0"/>
    </xf>
    <xf numFmtId="1" fontId="1" fillId="0" borderId="3" xfId="0" applyNumberFormat="1" applyFont="1" applyBorder="1" applyAlignment="1" applyProtection="1">
      <alignment horizontal="right"/>
      <protection locked="0"/>
    </xf>
    <xf numFmtId="164" fontId="1" fillId="0" borderId="3" xfId="0" applyNumberFormat="1" applyFont="1" applyBorder="1" applyAlignment="1" applyProtection="1">
      <alignment horizontal="right"/>
      <protection locked="0"/>
    </xf>
    <xf numFmtId="0" fontId="24" fillId="0" borderId="3" xfId="0" applyNumberFormat="1" applyFont="1" applyFill="1" applyBorder="1" applyAlignment="1" applyProtection="1"/>
    <xf numFmtId="0" fontId="24" fillId="0" borderId="3" xfId="0" applyFont="1" applyFill="1" applyBorder="1" applyAlignment="1" applyProtection="1">
      <alignment horizontal="center"/>
    </xf>
    <xf numFmtId="0" fontId="24" fillId="0" borderId="3" xfId="0" applyFont="1" applyFill="1" applyBorder="1"/>
    <xf numFmtId="0" fontId="1" fillId="0" borderId="3" xfId="0" applyFont="1" applyFill="1" applyBorder="1"/>
    <xf numFmtId="0" fontId="1" fillId="0" borderId="14" xfId="0" applyFont="1" applyFill="1" applyBorder="1"/>
    <xf numFmtId="164" fontId="1" fillId="0" borderId="14" xfId="0" applyNumberFormat="1" applyFont="1" applyFill="1" applyBorder="1" applyAlignment="1" applyProtection="1">
      <alignment horizontal="right"/>
      <protection locked="0"/>
    </xf>
    <xf numFmtId="49" fontId="11" fillId="0" borderId="13" xfId="0" applyNumberFormat="1" applyFont="1" applyBorder="1" applyAlignment="1" applyProtection="1">
      <alignment vertical="center"/>
    </xf>
    <xf numFmtId="1" fontId="1" fillId="0" borderId="3" xfId="0" applyNumberFormat="1" applyFont="1" applyFill="1" applyBorder="1" applyAlignment="1" applyProtection="1">
      <alignment horizontal="right"/>
      <protection locked="0"/>
    </xf>
    <xf numFmtId="1" fontId="0" fillId="0" borderId="3" xfId="0" applyNumberFormat="1" applyFont="1" applyBorder="1" applyAlignment="1" applyProtection="1">
      <alignment horizontal="right"/>
      <protection locked="0"/>
    </xf>
    <xf numFmtId="49" fontId="1" fillId="0" borderId="9" xfId="0" applyNumberFormat="1" applyFont="1" applyBorder="1" applyAlignment="1" applyProtection="1">
      <alignment horizontal="left" wrapText="1"/>
    </xf>
    <xf numFmtId="1" fontId="1" fillId="0" borderId="9" xfId="0" applyNumberFormat="1" applyFont="1" applyBorder="1" applyAlignment="1" applyProtection="1">
      <alignment horizontal="right"/>
      <protection locked="0"/>
    </xf>
    <xf numFmtId="164" fontId="1" fillId="0" borderId="17" xfId="0" applyNumberFormat="1" applyFont="1" applyFill="1" applyBorder="1" applyAlignment="1" applyProtection="1">
      <alignment horizontal="right"/>
      <protection locked="0"/>
    </xf>
    <xf numFmtId="0" fontId="0" fillId="0" borderId="0" xfId="0" applyFont="1" applyFill="1" applyBorder="1" applyAlignment="1">
      <alignment horizontal="left" vertical="top"/>
    </xf>
    <xf numFmtId="0" fontId="0" fillId="5" borderId="0" xfId="0" applyFont="1" applyFill="1" applyBorder="1" applyAlignment="1">
      <alignment horizontal="left" vertical="top"/>
    </xf>
    <xf numFmtId="0" fontId="6" fillId="5" borderId="0" xfId="0" applyFont="1" applyFill="1" applyBorder="1" applyAlignment="1">
      <alignment horizontal="left" vertical="top"/>
    </xf>
    <xf numFmtId="0" fontId="1" fillId="5" borderId="0" xfId="0" applyFont="1" applyFill="1" applyBorder="1" applyAlignment="1">
      <alignment horizontal="left" vertical="top"/>
    </xf>
    <xf numFmtId="0" fontId="1" fillId="5" borderId="0" xfId="0" applyFont="1" applyFill="1" applyAlignment="1">
      <alignment horizontal="left" vertical="top"/>
    </xf>
    <xf numFmtId="164" fontId="17" fillId="5" borderId="0" xfId="1" applyNumberFormat="1" applyFill="1" applyBorder="1" applyAlignment="1" applyProtection="1">
      <alignment vertical="top"/>
    </xf>
    <xf numFmtId="0" fontId="0" fillId="0" borderId="0" xfId="0" applyFont="1" applyFill="1" applyBorder="1"/>
    <xf numFmtId="2" fontId="1" fillId="0" borderId="0" xfId="0" applyNumberFormat="1" applyFont="1"/>
    <xf numFmtId="2" fontId="1" fillId="0" borderId="0" xfId="0" applyNumberFormat="1" applyFont="1" applyBorder="1"/>
    <xf numFmtId="164" fontId="1" fillId="7" borderId="0" xfId="0" applyNumberFormat="1" applyFont="1" applyFill="1" applyBorder="1" applyAlignment="1" applyProtection="1">
      <alignment horizontal="right"/>
      <protection locked="0"/>
    </xf>
    <xf numFmtId="0" fontId="0" fillId="0" borderId="0" xfId="0"/>
    <xf numFmtId="0" fontId="0" fillId="0" borderId="0" xfId="0" applyBorder="1" applyAlignment="1">
      <alignment horizontal="center"/>
    </xf>
    <xf numFmtId="0" fontId="0" fillId="0" borderId="0" xfId="0" applyFont="1"/>
    <xf numFmtId="0" fontId="0" fillId="0" borderId="0" xfId="0" applyFont="1" applyAlignment="1">
      <alignment horizontal="center"/>
    </xf>
    <xf numFmtId="0" fontId="29" fillId="9" borderId="0" xfId="0" applyFont="1" applyFill="1" applyBorder="1" applyAlignment="1">
      <alignment horizontal="center" vertical="center"/>
    </xf>
    <xf numFmtId="0" fontId="29" fillId="9" borderId="0" xfId="0" applyFont="1" applyFill="1" applyBorder="1" applyAlignment="1">
      <alignment horizontal="center" vertical="center" wrapText="1"/>
    </xf>
    <xf numFmtId="0" fontId="0" fillId="0" borderId="0" xfId="0" applyBorder="1" applyAlignment="1">
      <alignment horizontal="center" vertical="center" wrapText="1"/>
    </xf>
    <xf numFmtId="0" fontId="30" fillId="0" borderId="18" xfId="0" applyFont="1" applyFill="1" applyBorder="1" applyAlignment="1">
      <alignment horizontal="left"/>
    </xf>
    <xf numFmtId="0" fontId="30" fillId="0" borderId="18" xfId="0" applyFont="1" applyFill="1" applyBorder="1" applyAlignment="1">
      <alignment horizontal="center"/>
    </xf>
    <xf numFmtId="0" fontId="30" fillId="0" borderId="18" xfId="0" applyFont="1" applyFill="1" applyBorder="1"/>
    <xf numFmtId="0" fontId="30" fillId="0" borderId="0" xfId="0" applyFont="1" applyFill="1" applyBorder="1" applyAlignment="1">
      <alignment horizontal="left"/>
    </xf>
    <xf numFmtId="0" fontId="30" fillId="0" borderId="0" xfId="0" applyFont="1" applyFill="1" applyBorder="1" applyAlignment="1">
      <alignment horizontal="center"/>
    </xf>
    <xf numFmtId="0" fontId="30" fillId="0" borderId="0" xfId="0" applyFont="1" applyFill="1" applyBorder="1"/>
    <xf numFmtId="0" fontId="0" fillId="0" borderId="0" xfId="0" applyAlignment="1">
      <alignment vertical="top"/>
    </xf>
    <xf numFmtId="0" fontId="0" fillId="0" borderId="0" xfId="0" applyFont="1" applyBorder="1" applyAlignment="1">
      <alignment horizont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center" vertical="top" wrapText="1"/>
    </xf>
    <xf numFmtId="0" fontId="30" fillId="0" borderId="0" xfId="0" applyFont="1" applyFill="1" applyBorder="1" applyAlignment="1">
      <alignment horizontal="center" vertical="top"/>
    </xf>
    <xf numFmtId="1" fontId="24" fillId="0" borderId="0" xfId="0" applyNumberFormat="1" applyFont="1" applyFill="1" applyBorder="1" applyAlignment="1" applyProtection="1">
      <alignment horizontal="right"/>
      <protection locked="0"/>
    </xf>
    <xf numFmtId="165" fontId="24" fillId="0" borderId="0" xfId="0" applyNumberFormat="1" applyFont="1" applyFill="1" applyBorder="1" applyAlignment="1" applyProtection="1">
      <alignment horizontal="right"/>
      <protection locked="0"/>
    </xf>
    <xf numFmtId="0" fontId="6" fillId="0" borderId="0" xfId="0" applyFont="1" applyBorder="1"/>
    <xf numFmtId="0" fontId="6" fillId="0" borderId="0" xfId="0" applyFont="1" applyFill="1" applyBorder="1"/>
    <xf numFmtId="0" fontId="0" fillId="0" borderId="0" xfId="0" applyAlignment="1">
      <alignment horizontal="center"/>
    </xf>
    <xf numFmtId="0" fontId="16" fillId="2" borderId="0" xfId="0" applyFont="1" applyFill="1" applyAlignment="1"/>
    <xf numFmtId="0" fontId="0" fillId="2" borderId="0" xfId="0" applyFill="1" applyAlignment="1">
      <alignment horizontal="center"/>
    </xf>
    <xf numFmtId="0" fontId="0" fillId="2" borderId="1" xfId="0" applyFill="1" applyBorder="1" applyAlignment="1" applyProtection="1">
      <alignment horizontal="center"/>
      <protection locked="0"/>
    </xf>
    <xf numFmtId="0" fontId="5" fillId="2" borderId="0" xfId="0" applyFont="1" applyFill="1" applyAlignment="1">
      <alignment horizontal="left"/>
    </xf>
    <xf numFmtId="0" fontId="1" fillId="2" borderId="0" xfId="0" applyFont="1" applyFill="1" applyAlignment="1">
      <alignment horizontal="left"/>
    </xf>
    <xf numFmtId="0" fontId="0" fillId="0" borderId="0" xfId="0" applyAlignment="1"/>
    <xf numFmtId="0" fontId="15" fillId="2" borderId="0" xfId="0" applyFont="1" applyFill="1" applyAlignment="1">
      <alignment horizontal="left" wrapText="1"/>
    </xf>
    <xf numFmtId="0" fontId="0" fillId="2" borderId="0" xfId="0" applyFill="1" applyAlignment="1"/>
    <xf numFmtId="0" fontId="6" fillId="2" borderId="7" xfId="0" applyFont="1" applyFill="1" applyBorder="1" applyAlignment="1">
      <alignment vertical="top" wrapText="1"/>
    </xf>
    <xf numFmtId="0" fontId="6" fillId="2" borderId="0" xfId="0" applyFont="1" applyFill="1" applyAlignment="1">
      <alignment horizontal="center" vertical="center"/>
    </xf>
    <xf numFmtId="0" fontId="0" fillId="0" borderId="0" xfId="0" applyAlignment="1">
      <alignment horizontal="center" vertical="center"/>
    </xf>
    <xf numFmtId="0" fontId="5" fillId="2" borderId="0" xfId="0" applyFont="1" applyFill="1" applyBorder="1" applyAlignment="1">
      <alignment wrapText="1"/>
    </xf>
    <xf numFmtId="0" fontId="1" fillId="0" borderId="0" xfId="2"/>
    <xf numFmtId="0" fontId="8" fillId="0" borderId="0" xfId="2" applyFont="1" applyAlignment="1">
      <alignment horizontal="left"/>
    </xf>
    <xf numFmtId="0" fontId="1" fillId="0" borderId="0" xfId="2" applyAlignment="1">
      <alignment horizontal="center"/>
    </xf>
    <xf numFmtId="0" fontId="4" fillId="0" borderId="0" xfId="2" applyFont="1"/>
    <xf numFmtId="0" fontId="2" fillId="0" borderId="0" xfId="2" applyFont="1"/>
    <xf numFmtId="0" fontId="5" fillId="0" borderId="0" xfId="2" applyFont="1"/>
    <xf numFmtId="0" fontId="29" fillId="9" borderId="20" xfId="0" applyFont="1" applyFill="1" applyBorder="1" applyAlignment="1">
      <alignment horizontal="center" vertical="center" wrapText="1"/>
    </xf>
    <xf numFmtId="164" fontId="30" fillId="0" borderId="0" xfId="3" applyNumberFormat="1" applyFont="1" applyFill="1" applyBorder="1"/>
    <xf numFmtId="167" fontId="0" fillId="0" borderId="13" xfId="0" applyNumberFormat="1" applyFont="1" applyFill="1" applyBorder="1" applyAlignment="1" applyProtection="1">
      <alignment horizontal="left"/>
      <protection locked="0"/>
    </xf>
    <xf numFmtId="0" fontId="1" fillId="0" borderId="0" xfId="0" applyFont="1" applyFill="1" applyBorder="1" applyAlignment="1">
      <alignment horizontal="left" wrapText="1"/>
    </xf>
    <xf numFmtId="0" fontId="33" fillId="0" borderId="0" xfId="0" applyFont="1"/>
    <xf numFmtId="0" fontId="1" fillId="0" borderId="0" xfId="0" applyFont="1" applyAlignment="1">
      <alignment horizontal="left" wrapText="1"/>
    </xf>
    <xf numFmtId="2" fontId="1" fillId="0" borderId="0" xfId="0" applyNumberFormat="1" applyFont="1" applyAlignment="1">
      <alignment horizontal="left"/>
    </xf>
    <xf numFmtId="0" fontId="27" fillId="0" borderId="0" xfId="0" applyFont="1" applyFill="1" applyBorder="1"/>
    <xf numFmtId="49" fontId="5" fillId="0" borderId="0" xfId="2" applyNumberFormat="1" applyFont="1" applyAlignment="1">
      <alignment horizontal="center" vertical="center"/>
    </xf>
    <xf numFmtId="0" fontId="5" fillId="0" borderId="0" xfId="2" applyFont="1" applyAlignment="1">
      <alignment vertical="center"/>
    </xf>
    <xf numFmtId="0" fontId="5" fillId="0" borderId="0" xfId="2" applyFont="1" applyAlignment="1">
      <alignment horizontal="center" vertical="center"/>
    </xf>
    <xf numFmtId="0" fontId="34" fillId="0" borderId="0" xfId="2" applyFont="1" applyAlignment="1">
      <alignment horizontal="center" vertical="center"/>
    </xf>
    <xf numFmtId="0" fontId="34" fillId="0" borderId="0" xfId="2" applyFont="1" applyAlignment="1">
      <alignment vertical="center"/>
    </xf>
    <xf numFmtId="0" fontId="35" fillId="0" borderId="0" xfId="2" applyFont="1" applyAlignment="1">
      <alignment horizontal="center"/>
    </xf>
    <xf numFmtId="0" fontId="36" fillId="0" borderId="0" xfId="2" applyFont="1" applyAlignment="1">
      <alignment horizontal="center"/>
    </xf>
    <xf numFmtId="0" fontId="36" fillId="3" borderId="0" xfId="2" applyFont="1" applyFill="1" applyAlignment="1">
      <alignment horizontal="center"/>
    </xf>
    <xf numFmtId="0" fontId="35" fillId="0" borderId="0" xfId="2" applyFont="1"/>
    <xf numFmtId="0" fontId="35" fillId="3" borderId="0" xfId="2" applyFont="1" applyFill="1" applyAlignment="1">
      <alignment horizontal="center"/>
    </xf>
    <xf numFmtId="2" fontId="0" fillId="0" borderId="0" xfId="0" applyNumberFormat="1" applyFont="1" applyFill="1"/>
    <xf numFmtId="0" fontId="26" fillId="0" borderId="0" xfId="0" applyFont="1" applyFill="1" applyBorder="1"/>
    <xf numFmtId="0" fontId="30" fillId="0" borderId="0" xfId="0" applyNumberFormat="1" applyFont="1" applyFill="1" applyBorder="1" applyAlignment="1">
      <alignment horizontal="left"/>
    </xf>
    <xf numFmtId="165" fontId="30" fillId="0" borderId="18" xfId="0" applyNumberFormat="1" applyFont="1" applyFill="1" applyBorder="1"/>
    <xf numFmtId="165" fontId="30" fillId="0" borderId="0" xfId="0" applyNumberFormat="1" applyFont="1" applyFill="1" applyBorder="1"/>
    <xf numFmtId="0" fontId="30" fillId="0" borderId="0" xfId="0" applyFont="1" applyFill="1"/>
    <xf numFmtId="165" fontId="30" fillId="0" borderId="0" xfId="0" applyNumberFormat="1" applyFont="1" applyFill="1"/>
    <xf numFmtId="164" fontId="24" fillId="0" borderId="0" xfId="0" applyNumberFormat="1" applyFont="1" applyFill="1" applyBorder="1" applyAlignment="1" applyProtection="1"/>
    <xf numFmtId="2" fontId="0" fillId="0" borderId="0" xfId="0" applyNumberFormat="1" applyFont="1"/>
    <xf numFmtId="2" fontId="6" fillId="0" borderId="0" xfId="0" applyNumberFormat="1" applyFont="1"/>
    <xf numFmtId="0" fontId="0" fillId="0" borderId="6" xfId="0" applyFont="1" applyFill="1" applyBorder="1"/>
    <xf numFmtId="2" fontId="0" fillId="0" borderId="6" xfId="0" applyNumberFormat="1" applyFont="1" applyFill="1" applyBorder="1"/>
    <xf numFmtId="2" fontId="1" fillId="6" borderId="0" xfId="0" applyNumberFormat="1" applyFont="1" applyFill="1"/>
    <xf numFmtId="2" fontId="1" fillId="12" borderId="0" xfId="0" applyNumberFormat="1" applyFont="1" applyFill="1"/>
    <xf numFmtId="2" fontId="1" fillId="13" borderId="0" xfId="0" applyNumberFormat="1" applyFont="1" applyFill="1" applyBorder="1"/>
    <xf numFmtId="2" fontId="1" fillId="14" borderId="0" xfId="0" applyNumberFormat="1" applyFont="1" applyFill="1" applyBorder="1"/>
    <xf numFmtId="2" fontId="1" fillId="10" borderId="0" xfId="0" applyNumberFormat="1" applyFont="1" applyFill="1" applyBorder="1"/>
    <xf numFmtId="2" fontId="1" fillId="11" borderId="0" xfId="0" applyNumberFormat="1" applyFont="1" applyFill="1" applyBorder="1"/>
    <xf numFmtId="1" fontId="30" fillId="0" borderId="18" xfId="0" applyNumberFormat="1" applyFont="1" applyFill="1" applyBorder="1"/>
    <xf numFmtId="1" fontId="30" fillId="0" borderId="0" xfId="0" applyNumberFormat="1" applyFont="1" applyFill="1" applyBorder="1"/>
    <xf numFmtId="2" fontId="1" fillId="0" borderId="0" xfId="0" applyNumberFormat="1" applyFont="1" applyFill="1"/>
    <xf numFmtId="2" fontId="1" fillId="0" borderId="0" xfId="0" applyNumberFormat="1" applyFont="1" applyFill="1" applyBorder="1"/>
    <xf numFmtId="2" fontId="1" fillId="15" borderId="0" xfId="0" applyNumberFormat="1" applyFont="1" applyFill="1"/>
    <xf numFmtId="2" fontId="1" fillId="16" borderId="0" xfId="0" applyNumberFormat="1" applyFont="1" applyFill="1" applyBorder="1"/>
    <xf numFmtId="0" fontId="0" fillId="17" borderId="0" xfId="0" applyFont="1" applyFill="1" applyBorder="1"/>
    <xf numFmtId="0" fontId="1" fillId="0" borderId="0" xfId="0" applyFont="1" applyAlignment="1" applyProtection="1">
      <alignment horizontal="right"/>
      <protection locked="0"/>
    </xf>
    <xf numFmtId="0" fontId="1" fillId="0" borderId="0" xfId="0" applyFont="1" applyProtection="1">
      <protection locked="0"/>
    </xf>
    <xf numFmtId="164" fontId="1" fillId="0" borderId="0" xfId="0" applyNumberFormat="1" applyFont="1" applyProtection="1">
      <protection locked="0"/>
    </xf>
    <xf numFmtId="164" fontId="1" fillId="0" borderId="0" xfId="0" applyNumberFormat="1" applyFont="1" applyFill="1" applyProtection="1">
      <protection locked="0"/>
    </xf>
    <xf numFmtId="164" fontId="1" fillId="0" borderId="0" xfId="0" applyNumberFormat="1" applyFont="1" applyFill="1" applyProtection="1"/>
    <xf numFmtId="0" fontId="6" fillId="0" borderId="0" xfId="0" applyFont="1" applyFill="1" applyAlignment="1">
      <alignment horizontal="center" vertical="center"/>
    </xf>
    <xf numFmtId="2" fontId="1" fillId="18" borderId="0" xfId="0" applyNumberFormat="1" applyFont="1" applyFill="1" applyBorder="1"/>
    <xf numFmtId="0" fontId="0" fillId="0" borderId="0" xfId="0" applyFill="1" applyBorder="1" applyAlignment="1">
      <alignment horizontal="left"/>
    </xf>
    <xf numFmtId="49" fontId="0" fillId="0" borderId="1" xfId="0" applyNumberFormat="1" applyFill="1" applyBorder="1" applyAlignment="1">
      <alignment horizontal="left"/>
    </xf>
    <xf numFmtId="0" fontId="0" fillId="0" borderId="1" xfId="0" applyFill="1" applyBorder="1"/>
    <xf numFmtId="164" fontId="0" fillId="0" borderId="0" xfId="0" applyNumberFormat="1" applyFont="1" applyFill="1" applyBorder="1" applyAlignment="1" applyProtection="1">
      <alignment horizontal="right"/>
    </xf>
    <xf numFmtId="0" fontId="6" fillId="0" borderId="0" xfId="0" applyFont="1" applyFill="1" applyBorder="1" applyAlignment="1">
      <alignment horizontal="left" vertical="top" wrapText="1"/>
    </xf>
    <xf numFmtId="0" fontId="0" fillId="0" borderId="0" xfId="0" applyFill="1" applyBorder="1" applyAlignment="1">
      <alignment horizontal="center"/>
    </xf>
    <xf numFmtId="0" fontId="0" fillId="19" borderId="0" xfId="0" applyFill="1"/>
    <xf numFmtId="0" fontId="0" fillId="19" borderId="0" xfId="0" applyFill="1" applyAlignment="1">
      <alignment horizontal="left"/>
    </xf>
    <xf numFmtId="0" fontId="0" fillId="19" borderId="0" xfId="0" applyFill="1" applyAlignment="1"/>
    <xf numFmtId="0" fontId="0" fillId="19" borderId="0" xfId="0" applyFill="1" applyBorder="1"/>
    <xf numFmtId="49" fontId="0" fillId="19" borderId="0" xfId="0" applyNumberFormat="1" applyFill="1" applyAlignment="1">
      <alignment horizontal="left"/>
    </xf>
    <xf numFmtId="49" fontId="12" fillId="0" borderId="0" xfId="0" applyNumberFormat="1" applyFont="1" applyFill="1" applyBorder="1" applyAlignment="1">
      <alignment horizontal="left" wrapText="1"/>
    </xf>
    <xf numFmtId="0" fontId="2" fillId="0" borderId="0" xfId="0" applyFont="1" applyFill="1" applyBorder="1" applyAlignment="1">
      <alignment horizontal="center"/>
    </xf>
    <xf numFmtId="49" fontId="0" fillId="0" borderId="0" xfId="0" applyNumberFormat="1" applyFill="1" applyAlignment="1">
      <alignment horizontal="left"/>
    </xf>
    <xf numFmtId="0" fontId="0" fillId="19" borderId="0" xfId="0" applyFill="1" applyProtection="1"/>
    <xf numFmtId="0" fontId="6" fillId="19" borderId="0" xfId="0" applyFont="1" applyFill="1" applyAlignment="1">
      <alignment horizontal="center" vertical="center"/>
    </xf>
    <xf numFmtId="2" fontId="1" fillId="19" borderId="0" xfId="0" applyNumberFormat="1" applyFont="1" applyFill="1" applyBorder="1"/>
    <xf numFmtId="0" fontId="6" fillId="19" borderId="0" xfId="0" applyFont="1" applyFill="1" applyBorder="1"/>
    <xf numFmtId="2" fontId="1" fillId="19" borderId="0" xfId="0" applyNumberFormat="1" applyFont="1" applyFill="1"/>
    <xf numFmtId="0" fontId="0" fillId="19" borderId="0" xfId="0" applyFont="1" applyFill="1" applyBorder="1"/>
    <xf numFmtId="0" fontId="0" fillId="20" borderId="6" xfId="0" applyFill="1" applyBorder="1" applyAlignment="1">
      <alignment horizontal="center"/>
    </xf>
    <xf numFmtId="0" fontId="0" fillId="20" borderId="10" xfId="0" applyFill="1" applyBorder="1" applyAlignment="1">
      <alignment horizontal="center"/>
    </xf>
    <xf numFmtId="0" fontId="0" fillId="20" borderId="8" xfId="0" applyFill="1" applyBorder="1" applyAlignment="1">
      <alignment horizontal="center"/>
    </xf>
    <xf numFmtId="0" fontId="0" fillId="20" borderId="11" xfId="0" applyFill="1" applyBorder="1" applyAlignment="1">
      <alignment horizontal="center"/>
    </xf>
    <xf numFmtId="0" fontId="6" fillId="20" borderId="0" xfId="0" applyFont="1" applyFill="1" applyBorder="1" applyAlignment="1">
      <alignment horizontal="left" vertical="top" wrapText="1"/>
    </xf>
    <xf numFmtId="0" fontId="0" fillId="20" borderId="0" xfId="0" applyFill="1" applyAlignment="1">
      <alignment vertical="top" wrapText="1"/>
    </xf>
    <xf numFmtId="0" fontId="0" fillId="20" borderId="12" xfId="0" applyFill="1" applyBorder="1" applyAlignment="1">
      <alignment horizontal="center" wrapText="1"/>
    </xf>
    <xf numFmtId="0" fontId="0" fillId="20" borderId="5" xfId="0" applyFill="1" applyBorder="1" applyAlignment="1">
      <alignment horizontal="center"/>
    </xf>
    <xf numFmtId="0" fontId="0" fillId="20" borderId="1" xfId="0" applyFill="1" applyBorder="1" applyAlignment="1">
      <alignment horizontal="center"/>
    </xf>
    <xf numFmtId="0" fontId="0" fillId="20" borderId="4" xfId="0" applyFill="1" applyBorder="1" applyAlignment="1">
      <alignment horizontal="center"/>
    </xf>
    <xf numFmtId="0" fontId="0" fillId="19" borderId="0" xfId="0" applyFill="1" applyAlignment="1">
      <alignment horizontal="center"/>
    </xf>
    <xf numFmtId="0" fontId="12" fillId="0" borderId="0" xfId="0" applyFont="1" applyFill="1" applyBorder="1" applyAlignment="1">
      <alignment horizontal="center" wrapText="1"/>
    </xf>
    <xf numFmtId="0" fontId="12" fillId="0" borderId="10" xfId="0" applyFont="1" applyFill="1" applyBorder="1" applyAlignment="1">
      <alignment horizontal="center" wrapText="1"/>
    </xf>
    <xf numFmtId="0" fontId="12" fillId="0" borderId="8" xfId="0" applyFont="1" applyFill="1" applyBorder="1" applyAlignment="1">
      <alignment horizontal="center" wrapText="1"/>
    </xf>
    <xf numFmtId="0" fontId="6" fillId="0" borderId="0" xfId="0" applyFont="1" applyFill="1" applyBorder="1" applyAlignment="1">
      <alignment horizontal="left" vertical="top" wrapText="1"/>
    </xf>
    <xf numFmtId="0" fontId="0" fillId="0" borderId="0" xfId="0" applyFill="1" applyBorder="1" applyAlignment="1">
      <alignment horizontal="center"/>
    </xf>
    <xf numFmtId="0" fontId="6" fillId="0" borderId="0" xfId="0" applyFont="1" applyFill="1" applyBorder="1" applyAlignment="1">
      <alignment vertical="top" wrapText="1"/>
    </xf>
    <xf numFmtId="0" fontId="1" fillId="0" borderId="10" xfId="0" applyNumberFormat="1" applyFont="1" applyBorder="1" applyAlignment="1" applyProtection="1">
      <alignment horizontal="left" vertical="top" wrapText="1"/>
      <protection locked="0"/>
    </xf>
    <xf numFmtId="0" fontId="1" fillId="0" borderId="8" xfId="0" applyNumberFormat="1" applyFont="1" applyBorder="1" applyAlignment="1" applyProtection="1">
      <alignment horizontal="left" vertical="top" wrapText="1"/>
      <protection locked="0"/>
    </xf>
    <xf numFmtId="0" fontId="1" fillId="0" borderId="11" xfId="0" applyNumberFormat="1" applyFont="1" applyBorder="1" applyAlignment="1" applyProtection="1">
      <alignment horizontal="left" vertical="top" wrapText="1"/>
      <protection locked="0"/>
    </xf>
    <xf numFmtId="0" fontId="1" fillId="0" borderId="6" xfId="0" applyNumberFormat="1" applyFont="1" applyBorder="1" applyAlignment="1" applyProtection="1">
      <alignment horizontal="left" vertical="top" wrapText="1"/>
      <protection locked="0"/>
    </xf>
    <xf numFmtId="0" fontId="1" fillId="0" borderId="0" xfId="0" applyNumberFormat="1" applyFont="1" applyBorder="1" applyAlignment="1" applyProtection="1">
      <alignment horizontal="left" vertical="top" wrapText="1"/>
      <protection locked="0"/>
    </xf>
    <xf numFmtId="0" fontId="1" fillId="0" borderId="12" xfId="0" applyNumberFormat="1" applyFont="1" applyBorder="1" applyAlignment="1" applyProtection="1">
      <alignment horizontal="left" vertical="top" wrapText="1"/>
      <protection locked="0"/>
    </xf>
    <xf numFmtId="0" fontId="1" fillId="0" borderId="5" xfId="0" applyNumberFormat="1" applyFont="1" applyBorder="1" applyAlignment="1" applyProtection="1">
      <alignment horizontal="left" vertical="top" wrapText="1"/>
      <protection locked="0"/>
    </xf>
    <xf numFmtId="0" fontId="1" fillId="0" borderId="1" xfId="0" applyNumberFormat="1" applyFont="1" applyBorder="1" applyAlignment="1" applyProtection="1">
      <alignment horizontal="left" vertical="top" wrapText="1"/>
      <protection locked="0"/>
    </xf>
    <xf numFmtId="0" fontId="1" fillId="0" borderId="4" xfId="0" applyNumberFormat="1" applyFont="1" applyBorder="1" applyAlignment="1" applyProtection="1">
      <alignment horizontal="left" vertical="top" wrapText="1"/>
      <protection locked="0"/>
    </xf>
    <xf numFmtId="0" fontId="18" fillId="0" borderId="0" xfId="0" applyFont="1" applyFill="1" applyBorder="1" applyAlignment="1">
      <alignment horizontal="center"/>
    </xf>
    <xf numFmtId="0" fontId="2" fillId="0" borderId="0" xfId="0" applyNumberFormat="1" applyFont="1" applyAlignment="1" applyProtection="1">
      <alignment horizontal="right"/>
    </xf>
    <xf numFmtId="0" fontId="6" fillId="4" borderId="0" xfId="0" applyFont="1" applyFill="1" applyBorder="1" applyAlignment="1">
      <alignment horizontal="left" wrapText="1"/>
    </xf>
    <xf numFmtId="0" fontId="15" fillId="0" borderId="1" xfId="0" applyNumberFormat="1" applyFont="1" applyFill="1" applyBorder="1" applyAlignment="1" applyProtection="1">
      <protection locked="0"/>
    </xf>
    <xf numFmtId="0" fontId="24" fillId="0" borderId="1" xfId="0" applyFont="1" applyFill="1" applyBorder="1" applyAlignment="1" applyProtection="1">
      <protection locked="0"/>
    </xf>
    <xf numFmtId="0" fontId="15" fillId="0" borderId="1" xfId="0" applyNumberFormat="1" applyFont="1" applyBorder="1" applyAlignment="1" applyProtection="1">
      <alignment horizontal="left"/>
      <protection locked="0"/>
    </xf>
    <xf numFmtId="0" fontId="0" fillId="0" borderId="1" xfId="0" applyBorder="1" applyAlignment="1" applyProtection="1">
      <protection locked="0"/>
    </xf>
    <xf numFmtId="164" fontId="17" fillId="0" borderId="0" xfId="1" applyNumberFormat="1" applyFill="1" applyBorder="1" applyAlignment="1" applyProtection="1">
      <alignment horizontal="center" vertical="top"/>
      <protection locked="0"/>
    </xf>
    <xf numFmtId="0" fontId="17" fillId="0" borderId="1" xfId="1" applyNumberFormat="1" applyFill="1" applyBorder="1" applyAlignment="1" applyProtection="1">
      <protection locked="0"/>
    </xf>
    <xf numFmtId="0" fontId="4" fillId="0" borderId="1" xfId="1" applyNumberFormat="1" applyFont="1" applyFill="1" applyBorder="1" applyAlignment="1" applyProtection="1">
      <protection locked="0"/>
    </xf>
    <xf numFmtId="0" fontId="4" fillId="0" borderId="1" xfId="0" applyFont="1" applyFill="1" applyBorder="1" applyAlignment="1" applyProtection="1">
      <protection locked="0"/>
    </xf>
    <xf numFmtId="166" fontId="7" fillId="0" borderId="2" xfId="0" applyNumberFormat="1" applyFont="1" applyFill="1" applyBorder="1" applyAlignment="1" applyProtection="1">
      <alignment horizontal="left"/>
      <protection locked="0"/>
    </xf>
    <xf numFmtId="0" fontId="0" fillId="0" borderId="2" xfId="0" applyFill="1" applyBorder="1" applyAlignment="1" applyProtection="1">
      <protection locked="0"/>
    </xf>
    <xf numFmtId="164" fontId="18" fillId="0" borderId="0" xfId="0" quotePrefix="1" applyNumberFormat="1" applyFont="1" applyFill="1" applyBorder="1" applyAlignment="1">
      <alignment horizontal="center"/>
    </xf>
    <xf numFmtId="49" fontId="6" fillId="0" borderId="0" xfId="0" applyNumberFormat="1" applyFont="1" applyAlignment="1">
      <alignment horizontal="left"/>
    </xf>
    <xf numFmtId="0" fontId="22" fillId="0" borderId="0" xfId="0" applyNumberFormat="1" applyFont="1" applyAlignment="1">
      <alignment horizontal="left"/>
    </xf>
    <xf numFmtId="0" fontId="19" fillId="0" borderId="0" xfId="0" applyFont="1" applyAlignment="1">
      <alignment horizontal="left" vertical="top" wrapText="1"/>
    </xf>
    <xf numFmtId="0" fontId="28" fillId="8" borderId="21" xfId="0" applyFont="1" applyFill="1" applyBorder="1" applyAlignment="1">
      <alignment horizontal="center"/>
    </xf>
    <xf numFmtId="0" fontId="28" fillId="8" borderId="9" xfId="0" applyFont="1" applyFill="1" applyBorder="1" applyAlignment="1">
      <alignment horizontal="center"/>
    </xf>
    <xf numFmtId="0" fontId="28" fillId="8" borderId="22" xfId="0" applyFont="1" applyFill="1" applyBorder="1" applyAlignment="1">
      <alignment horizontal="center"/>
    </xf>
    <xf numFmtId="0" fontId="28" fillId="8" borderId="23" xfId="0" applyFont="1" applyFill="1" applyBorder="1" applyAlignment="1">
      <alignment horizontal="center" vertical="center"/>
    </xf>
    <xf numFmtId="0" fontId="28" fillId="8" borderId="19" xfId="0" applyFont="1" applyFill="1" applyBorder="1" applyAlignment="1">
      <alignment horizontal="center" vertical="center"/>
    </xf>
    <xf numFmtId="0" fontId="28" fillId="8" borderId="24" xfId="0" applyFont="1" applyFill="1" applyBorder="1" applyAlignment="1">
      <alignment horizontal="center" vertical="center"/>
    </xf>
    <xf numFmtId="0" fontId="0" fillId="2" borderId="1" xfId="0" applyFill="1" applyBorder="1" applyAlignment="1" applyProtection="1">
      <alignment horizontal="center"/>
      <protection locked="0"/>
    </xf>
    <xf numFmtId="0" fontId="0" fillId="0" borderId="1" xfId="0" applyBorder="1" applyAlignment="1" applyProtection="1">
      <alignment horizontal="center"/>
      <protection locked="0"/>
    </xf>
    <xf numFmtId="0" fontId="5" fillId="2" borderId="0" xfId="0" applyFont="1" applyFill="1" applyAlignment="1">
      <alignment horizontal="left"/>
    </xf>
    <xf numFmtId="0" fontId="0" fillId="2" borderId="0" xfId="0" applyFill="1" applyAlignment="1">
      <alignment horizontal="center"/>
    </xf>
    <xf numFmtId="0" fontId="1" fillId="2" borderId="0" xfId="0" applyFont="1" applyFill="1" applyAlignment="1">
      <alignment horizontal="left"/>
    </xf>
    <xf numFmtId="0" fontId="0" fillId="0" borderId="0" xfId="0" applyAlignment="1"/>
    <xf numFmtId="0" fontId="5" fillId="2" borderId="0" xfId="0" applyFont="1" applyFill="1" applyAlignment="1">
      <alignment horizontal="center"/>
    </xf>
    <xf numFmtId="0" fontId="16" fillId="2" borderId="0" xfId="0" applyFont="1" applyFill="1" applyAlignment="1">
      <alignment horizontal="center"/>
    </xf>
    <xf numFmtId="0" fontId="16" fillId="2" borderId="0" xfId="0" applyFont="1" applyFill="1" applyAlignment="1"/>
    <xf numFmtId="0" fontId="21" fillId="2" borderId="0" xfId="0" applyFont="1" applyFill="1" applyAlignment="1">
      <alignment horizontal="center" vertical="center"/>
    </xf>
    <xf numFmtId="0" fontId="21" fillId="0" borderId="0" xfId="0" applyFont="1" applyAlignment="1">
      <alignment horizontal="center" vertical="center"/>
    </xf>
    <xf numFmtId="0" fontId="6" fillId="2" borderId="0" xfId="0" applyFont="1" applyFill="1" applyAlignment="1">
      <alignment horizontal="center"/>
    </xf>
    <xf numFmtId="0" fontId="2" fillId="2" borderId="0" xfId="0" applyFont="1" applyFill="1" applyAlignment="1">
      <alignment horizontal="right"/>
    </xf>
    <xf numFmtId="0" fontId="21" fillId="2" borderId="1" xfId="0" applyFont="1" applyFill="1" applyBorder="1" applyAlignment="1" applyProtection="1">
      <alignment horizontal="left"/>
      <protection locked="0"/>
    </xf>
    <xf numFmtId="0" fontId="0" fillId="2" borderId="0" xfId="0" applyFill="1" applyBorder="1" applyAlignment="1" applyProtection="1">
      <alignment horizontal="center"/>
    </xf>
    <xf numFmtId="0" fontId="15" fillId="2" borderId="0" xfId="0" applyFont="1" applyFill="1" applyAlignment="1">
      <alignment horizontal="left" wrapText="1"/>
    </xf>
    <xf numFmtId="0" fontId="0" fillId="2" borderId="0" xfId="0" applyFill="1" applyAlignment="1"/>
    <xf numFmtId="0" fontId="5" fillId="2" borderId="10" xfId="0" applyFont="1" applyFill="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27" fillId="17" borderId="15" xfId="0" applyFont="1" applyFill="1" applyBorder="1" applyAlignment="1">
      <alignment horizontal="left" vertical="top" wrapText="1"/>
    </xf>
    <xf numFmtId="0" fontId="27" fillId="17" borderId="2" xfId="0" applyFont="1" applyFill="1" applyBorder="1" applyAlignment="1">
      <alignment horizontal="left" vertical="top" wrapText="1"/>
    </xf>
    <xf numFmtId="0" fontId="27" fillId="17" borderId="16" xfId="0" applyFont="1" applyFill="1" applyBorder="1" applyAlignment="1">
      <alignment horizontal="left" vertical="top" wrapText="1"/>
    </xf>
    <xf numFmtId="0" fontId="5" fillId="2" borderId="7" xfId="0" applyFont="1" applyFill="1" applyBorder="1" applyAlignment="1" applyProtection="1">
      <alignment vertical="top" wrapText="1"/>
      <protection locked="0"/>
    </xf>
    <xf numFmtId="0" fontId="5" fillId="0" borderId="7" xfId="0" applyFont="1" applyBorder="1" applyAlignment="1" applyProtection="1">
      <alignment vertical="top" wrapText="1"/>
      <protection locked="0"/>
    </xf>
    <xf numFmtId="0" fontId="0" fillId="11" borderId="15" xfId="0" applyFont="1" applyFill="1" applyBorder="1" applyAlignment="1">
      <alignment horizontal="left" vertical="top" wrapText="1"/>
    </xf>
    <xf numFmtId="0" fontId="0" fillId="11" borderId="2" xfId="0" applyFill="1" applyBorder="1" applyAlignment="1">
      <alignment horizontal="left" vertical="top" wrapText="1"/>
    </xf>
    <xf numFmtId="0" fontId="0" fillId="11" borderId="16" xfId="0" applyFill="1" applyBorder="1" applyAlignment="1">
      <alignment horizontal="left" vertical="top" wrapText="1"/>
    </xf>
    <xf numFmtId="0" fontId="0" fillId="10" borderId="15" xfId="0" applyFont="1" applyFill="1" applyBorder="1" applyAlignment="1">
      <alignment horizontal="left" vertical="top" wrapText="1"/>
    </xf>
    <xf numFmtId="0" fontId="0" fillId="10" borderId="2" xfId="0" applyFont="1" applyFill="1" applyBorder="1" applyAlignment="1">
      <alignment horizontal="left" vertical="top" wrapText="1"/>
    </xf>
    <xf numFmtId="0" fontId="0" fillId="10" borderId="16" xfId="0" applyFont="1" applyFill="1" applyBorder="1" applyAlignment="1">
      <alignment horizontal="left" vertical="top" wrapText="1"/>
    </xf>
    <xf numFmtId="0" fontId="5" fillId="2" borderId="15"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16" xfId="0" applyFont="1" applyFill="1" applyBorder="1" applyAlignment="1" applyProtection="1">
      <alignment horizontal="left" vertical="top" wrapText="1"/>
      <protection locked="0"/>
    </xf>
    <xf numFmtId="0" fontId="0" fillId="18" borderId="15" xfId="0" applyFont="1" applyFill="1" applyBorder="1" applyAlignment="1">
      <alignment horizontal="left" vertical="top" wrapText="1"/>
    </xf>
    <xf numFmtId="0" fontId="1" fillId="18" borderId="2" xfId="0" applyFont="1" applyFill="1" applyBorder="1" applyAlignment="1">
      <alignment horizontal="left" vertical="top" wrapText="1"/>
    </xf>
    <xf numFmtId="0" fontId="1" fillId="18" borderId="16" xfId="0" applyFont="1" applyFill="1" applyBorder="1" applyAlignment="1">
      <alignment horizontal="left" vertical="top" wrapText="1"/>
    </xf>
    <xf numFmtId="0" fontId="0" fillId="13" borderId="15" xfId="0" applyFont="1" applyFill="1" applyBorder="1" applyAlignment="1">
      <alignment horizontal="left" vertical="top" wrapText="1"/>
    </xf>
    <xf numFmtId="0" fontId="26" fillId="13" borderId="2" xfId="0" applyFont="1" applyFill="1" applyBorder="1" applyAlignment="1">
      <alignment horizontal="left" vertical="top" wrapText="1"/>
    </xf>
    <xf numFmtId="0" fontId="26" fillId="13" borderId="16" xfId="0" applyFont="1" applyFill="1" applyBorder="1" applyAlignment="1">
      <alignment horizontal="left" vertical="top" wrapText="1"/>
    </xf>
    <xf numFmtId="0" fontId="0" fillId="14" borderId="15" xfId="0" applyFont="1" applyFill="1" applyBorder="1" applyAlignment="1">
      <alignment horizontal="left" vertical="top" wrapText="1"/>
    </xf>
    <xf numFmtId="0" fontId="0" fillId="14" borderId="2" xfId="0" applyFont="1" applyFill="1" applyBorder="1" applyAlignment="1">
      <alignment horizontal="left" vertical="top" wrapText="1"/>
    </xf>
    <xf numFmtId="0" fontId="0" fillId="14" borderId="16" xfId="0" applyFont="1" applyFill="1" applyBorder="1" applyAlignment="1">
      <alignment horizontal="left" vertical="top" wrapText="1"/>
    </xf>
    <xf numFmtId="0" fontId="0" fillId="15" borderId="15" xfId="0" applyFont="1" applyFill="1" applyBorder="1" applyAlignment="1">
      <alignment horizontal="left" vertical="top" wrapText="1"/>
    </xf>
    <xf numFmtId="0" fontId="1" fillId="15" borderId="2" xfId="0" applyFont="1" applyFill="1" applyBorder="1" applyAlignment="1">
      <alignment horizontal="left" vertical="top" wrapText="1"/>
    </xf>
    <xf numFmtId="0" fontId="1" fillId="15" borderId="16" xfId="0" applyFont="1" applyFill="1" applyBorder="1" applyAlignment="1">
      <alignment horizontal="left" vertical="top" wrapText="1"/>
    </xf>
    <xf numFmtId="0" fontId="0" fillId="12" borderId="15" xfId="0" applyFont="1" applyFill="1" applyBorder="1" applyAlignment="1">
      <alignment horizontal="left" vertical="top" wrapText="1"/>
    </xf>
    <xf numFmtId="0" fontId="0" fillId="12" borderId="2" xfId="0" applyFont="1" applyFill="1" applyBorder="1" applyAlignment="1">
      <alignment horizontal="left" vertical="top" wrapText="1"/>
    </xf>
    <xf numFmtId="0" fontId="0" fillId="12" borderId="16" xfId="0" applyFont="1" applyFill="1" applyBorder="1" applyAlignment="1">
      <alignment horizontal="left" vertical="top" wrapText="1"/>
    </xf>
    <xf numFmtId="0" fontId="6" fillId="2" borderId="0" xfId="0" applyFont="1" applyFill="1" applyAlignment="1">
      <alignment horizontal="center" vertical="center"/>
    </xf>
    <xf numFmtId="0" fontId="0" fillId="0" borderId="0" xfId="0" applyAlignment="1">
      <alignment horizontal="center" vertical="center"/>
    </xf>
    <xf numFmtId="0" fontId="21" fillId="0" borderId="1" xfId="0" applyFont="1" applyBorder="1" applyAlignment="1" applyProtection="1">
      <alignment horizontal="left"/>
      <protection locked="0"/>
    </xf>
    <xf numFmtId="0" fontId="21" fillId="2" borderId="2" xfId="0" applyFont="1" applyFill="1" applyBorder="1" applyAlignment="1" applyProtection="1">
      <alignment horizontal="left"/>
      <protection locked="0"/>
    </xf>
    <xf numFmtId="0" fontId="21" fillId="0" borderId="2" xfId="0" applyFont="1" applyBorder="1" applyAlignment="1" applyProtection="1">
      <alignment horizontal="left"/>
      <protection locked="0"/>
    </xf>
    <xf numFmtId="0" fontId="0" fillId="2" borderId="0" xfId="0" applyFill="1" applyAlignment="1">
      <alignment wrapText="1"/>
    </xf>
    <xf numFmtId="0" fontId="0" fillId="0" borderId="0" xfId="0" applyAlignment="1">
      <alignment wrapText="1"/>
    </xf>
    <xf numFmtId="0" fontId="0" fillId="2" borderId="25" xfId="0" applyFont="1" applyFill="1"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16" borderId="15" xfId="0" applyFill="1" applyBorder="1" applyAlignment="1">
      <alignment vertical="top" wrapText="1"/>
    </xf>
    <xf numFmtId="0" fontId="0" fillId="16" borderId="2" xfId="0" applyFill="1" applyBorder="1" applyAlignment="1">
      <alignment vertical="top" wrapText="1"/>
    </xf>
    <xf numFmtId="0" fontId="0" fillId="16" borderId="16" xfId="0" applyFill="1" applyBorder="1" applyAlignment="1">
      <alignment vertical="top" wrapText="1"/>
    </xf>
    <xf numFmtId="0" fontId="0" fillId="6" borderId="15" xfId="0" applyFill="1" applyBorder="1" applyAlignment="1">
      <alignment horizontal="left" vertical="top" wrapText="1"/>
    </xf>
    <xf numFmtId="0" fontId="0" fillId="6" borderId="2" xfId="0" applyFill="1" applyBorder="1" applyAlignment="1">
      <alignment horizontal="left" vertical="top" wrapText="1"/>
    </xf>
    <xf numFmtId="0" fontId="0" fillId="6" borderId="16" xfId="0" applyFill="1" applyBorder="1" applyAlignment="1">
      <alignment horizontal="left" vertical="top" wrapText="1"/>
    </xf>
    <xf numFmtId="0" fontId="6" fillId="2" borderId="15"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5" xfId="0" applyFont="1" applyFill="1" applyBorder="1" applyAlignment="1">
      <alignment horizontal="left" vertical="top" wrapText="1"/>
    </xf>
    <xf numFmtId="0" fontId="0" fillId="0" borderId="2" xfId="0" applyBorder="1" applyAlignment="1">
      <alignment horizontal="left" vertical="top" wrapText="1"/>
    </xf>
    <xf numFmtId="0" fontId="0" fillId="0" borderId="16" xfId="0" applyBorder="1" applyAlignment="1">
      <alignment horizontal="left" vertical="top" wrapText="1"/>
    </xf>
    <xf numFmtId="0" fontId="0" fillId="0" borderId="2"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12" fillId="0" borderId="0" xfId="0" applyFont="1" applyFill="1" applyBorder="1" applyAlignment="1" applyProtection="1">
      <alignment horizontal="center" wrapText="1"/>
      <protection locked="0"/>
    </xf>
    <xf numFmtId="0" fontId="3" fillId="0" borderId="0" xfId="2" applyFont="1" applyAlignment="1">
      <alignment horizontal="center" vertical="center"/>
    </xf>
    <xf numFmtId="0" fontId="21" fillId="0" borderId="0" xfId="2" applyFont="1" applyAlignment="1">
      <alignment horizontal="center" vertical="top"/>
    </xf>
    <xf numFmtId="0" fontId="21" fillId="0" borderId="0" xfId="0" applyFont="1" applyAlignment="1"/>
    <xf numFmtId="49" fontId="5" fillId="0" borderId="0" xfId="2" applyNumberFormat="1" applyFont="1" applyAlignment="1">
      <alignment horizontal="center" vertical="center"/>
    </xf>
    <xf numFmtId="0" fontId="0" fillId="0" borderId="0" xfId="0" applyAlignment="1">
      <alignment vertical="center"/>
    </xf>
    <xf numFmtId="0" fontId="5" fillId="0" borderId="0" xfId="2" applyFont="1" applyAlignment="1">
      <alignment horizontal="right"/>
    </xf>
    <xf numFmtId="0" fontId="1" fillId="0" borderId="0" xfId="2" applyAlignment="1"/>
    <xf numFmtId="0" fontId="0" fillId="2" borderId="1" xfId="0" applyFont="1" applyFill="1" applyBorder="1" applyAlignment="1" applyProtection="1">
      <alignment horizontal="center"/>
      <protection locked="0"/>
    </xf>
  </cellXfs>
  <cellStyles count="4">
    <cellStyle name="Hyperlink" xfId="1" builtinId="8"/>
    <cellStyle name="Normal" xfId="0" builtinId="0"/>
    <cellStyle name="Normal_Documentation 2002 2" xfId="2"/>
    <cellStyle name="Percent" xfId="3" builtinId="5"/>
  </cellStyles>
  <dxfs count="5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b val="0"/>
        <i val="0"/>
        <strike val="0"/>
        <condense val="0"/>
        <extend val="0"/>
        <outline val="0"/>
        <shadow val="0"/>
        <u val="none"/>
        <vertAlign val="baseline"/>
        <sz val="10"/>
        <color theme="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dxf>
    <dxf>
      <border outline="0">
        <top style="medium">
          <color theme="1"/>
        </top>
        <bottom style="medium">
          <color theme="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dxf>
    <dxf>
      <font>
        <b/>
        <i val="0"/>
        <strike val="0"/>
        <condense val="0"/>
        <extend val="0"/>
        <outline val="0"/>
        <shadow val="0"/>
        <u val="none"/>
        <vertAlign val="baseline"/>
        <sz val="10"/>
        <color theme="0"/>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1" formatCode="0"/>
      <fill>
        <patternFill patternType="none">
          <bgColor auto="1"/>
        </patternFill>
      </fill>
    </dxf>
    <dxf>
      <font>
        <b val="0"/>
        <i val="0"/>
        <strike val="0"/>
        <condense val="0"/>
        <extend val="0"/>
        <outline val="0"/>
        <shadow val="0"/>
        <u val="none"/>
        <vertAlign val="baseline"/>
        <sz val="10"/>
        <color theme="1"/>
        <name val="Arial"/>
        <scheme val="none"/>
      </font>
      <numFmt numFmtId="165" formatCode="0.0"/>
      <fill>
        <patternFill patternType="none">
          <bgColor auto="1"/>
        </patternFill>
      </fill>
    </dxf>
    <dxf>
      <font>
        <b val="0"/>
        <i val="0"/>
        <strike val="0"/>
        <condense val="0"/>
        <extend val="0"/>
        <outline val="0"/>
        <shadow val="0"/>
        <u val="none"/>
        <vertAlign val="baseline"/>
        <sz val="10"/>
        <color theme="1"/>
        <name val="Arial"/>
        <scheme val="none"/>
      </font>
      <fill>
        <patternFill patternType="none">
          <bgColor auto="1"/>
        </patternFill>
      </fill>
    </dxf>
    <dxf>
      <font>
        <b val="0"/>
        <i val="0"/>
        <strike val="0"/>
        <condense val="0"/>
        <extend val="0"/>
        <outline val="0"/>
        <shadow val="0"/>
        <u val="none"/>
        <vertAlign val="baseline"/>
        <sz val="10"/>
        <color theme="1"/>
        <name val="Arial"/>
        <scheme val="none"/>
      </font>
      <fill>
        <patternFill patternType="none">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bgColor auto="1"/>
        </patternFill>
      </fill>
      <alignment horizontal="left" vertical="bottom" textRotation="0" wrapText="0" indent="0" justifyLastLine="0" shrinkToFit="0" readingOrder="0"/>
    </dxf>
    <dxf>
      <border outline="0">
        <top style="medium">
          <color theme="1"/>
        </top>
        <bottom style="medium">
          <color theme="1"/>
        </bottom>
      </border>
    </dxf>
    <dxf>
      <font>
        <b val="0"/>
        <i val="0"/>
        <strike val="0"/>
        <condense val="0"/>
        <extend val="0"/>
        <outline val="0"/>
        <shadow val="0"/>
        <u val="none"/>
        <vertAlign val="baseline"/>
        <sz val="10"/>
        <color theme="1"/>
        <name val="Arial"/>
        <scheme val="none"/>
      </font>
      <fill>
        <patternFill patternType="none">
          <bgColor auto="1"/>
        </patternFill>
      </fill>
    </dxf>
    <dxf>
      <font>
        <b/>
        <i val="0"/>
        <strike val="0"/>
        <condense val="0"/>
        <extend val="0"/>
        <outline val="0"/>
        <shadow val="0"/>
        <u val="none"/>
        <vertAlign val="baseline"/>
        <sz val="10"/>
        <color theme="0"/>
        <name val="Arial"/>
        <scheme val="none"/>
      </font>
      <fill>
        <patternFill patternType="solid">
          <fgColor theme="5"/>
          <bgColor theme="5"/>
        </patternFill>
      </fill>
      <alignment horizontal="center" vertical="center" textRotation="0" wrapText="1" indent="0" justifyLastLine="0" shrinkToFit="0" readingOrder="0"/>
    </dxf>
    <dxf>
      <fill>
        <patternFill>
          <bgColor rgb="FFFFFF00"/>
        </patternFill>
      </fill>
    </dxf>
    <dxf>
      <fill>
        <patternFill>
          <bgColor rgb="FFFFFF00"/>
        </patternFill>
      </fill>
    </dxf>
    <dxf>
      <fill>
        <patternFill>
          <bgColor rgb="FF1CC297"/>
        </patternFill>
      </fill>
    </dxf>
    <dxf>
      <fill>
        <patternFill>
          <bgColor rgb="FFF7E563"/>
        </patternFill>
      </fill>
    </dxf>
    <dxf>
      <border>
        <left style="thin">
          <color auto="1"/>
        </left>
        <vertical/>
        <horizontal/>
      </border>
    </dxf>
    <dxf>
      <fill>
        <patternFill>
          <bgColor rgb="FFFF9FFF"/>
        </patternFill>
      </fill>
    </dxf>
    <dxf>
      <fill>
        <patternFill>
          <bgColor rgb="FFC2A1E7"/>
        </patternFill>
      </fill>
    </dxf>
    <dxf>
      <fill>
        <patternFill>
          <fgColor theme="0"/>
          <bgColor rgb="FFA3C4EB"/>
        </patternFill>
      </fill>
    </dxf>
    <dxf>
      <fill>
        <patternFill patternType="solid">
          <fgColor auto="1"/>
          <bgColor rgb="FFFFCCCC"/>
        </patternFill>
      </fill>
    </dxf>
    <dxf>
      <fill>
        <patternFill>
          <bgColor rgb="FFCCECFF"/>
        </patternFill>
      </fill>
    </dxf>
    <dxf>
      <fill>
        <patternFill>
          <fgColor theme="0"/>
          <bgColor rgb="FF1CC297"/>
        </patternFill>
      </fill>
      <border>
        <left/>
        <right/>
        <top/>
        <bottom/>
      </border>
    </dxf>
    <dxf>
      <border>
        <bottom style="thin">
          <color auto="1"/>
        </bottom>
        <vertical/>
        <horizontal/>
      </border>
    </dxf>
    <dxf>
      <fill>
        <patternFill>
          <bgColor theme="0" tint="-0.34998626667073579"/>
        </patternFill>
      </fill>
    </dxf>
    <dxf>
      <fill>
        <patternFill>
          <bgColor rgb="FFC6DB91"/>
        </patternFill>
      </fill>
    </dxf>
    <dxf>
      <fill>
        <patternFill>
          <bgColor rgb="FFF9B277"/>
        </patternFill>
      </fill>
    </dxf>
    <dxf>
      <fill>
        <patternFill>
          <bgColor rgb="FFF7E563"/>
        </patternFill>
      </fill>
    </dxf>
    <dxf>
      <fill>
        <patternFill>
          <bgColor rgb="FFB3F8A0"/>
        </patternFill>
      </fill>
    </dxf>
    <dxf>
      <fill>
        <patternFill>
          <bgColor rgb="FFB3F8A0"/>
        </patternFill>
      </fill>
    </dxf>
    <dxf>
      <fill>
        <patternFill patternType="solid">
          <fgColor theme="0" tint="-0.14999847407452621"/>
          <bgColor theme="0" tint="-0.14999847407452621"/>
        </patternFill>
      </fill>
    </dxf>
    <dxf>
      <border>
        <top style="double">
          <color theme="1"/>
        </top>
      </border>
    </dxf>
    <dxf>
      <font>
        <b/>
        <color theme="0"/>
      </font>
      <fill>
        <patternFill patternType="solid">
          <fgColor theme="5"/>
          <bgColor theme="5"/>
        </patternFill>
      </fill>
      <border>
        <bottom style="medium">
          <color theme="1"/>
        </bottom>
      </border>
    </dxf>
    <dxf>
      <font>
        <color theme="1"/>
      </font>
      <border>
        <left style="medium">
          <color theme="1"/>
        </left>
        <right style="medium">
          <color theme="1"/>
        </right>
        <top style="medium">
          <color theme="1"/>
        </top>
        <bottom style="medium">
          <color theme="1"/>
        </bottom>
        <vertical style="thin">
          <color theme="0" tint="-0.499984740745262"/>
        </vertical>
        <horizontal style="thin">
          <color theme="0" tint="-0.499984740745262"/>
        </horizontal>
      </border>
    </dxf>
    <dxf>
      <fill>
        <patternFill patternType="solid">
          <fgColor theme="0" tint="-0.14999847407452621"/>
          <bgColor theme="0" tint="-0.14999847407452621"/>
        </patternFill>
      </fill>
    </dxf>
    <dxf>
      <border>
        <top style="double">
          <color theme="1"/>
        </top>
      </border>
    </dxf>
    <dxf>
      <font>
        <b/>
        <color theme="0"/>
      </font>
      <fill>
        <patternFill patternType="solid">
          <fgColor theme="5"/>
          <bgColor theme="5"/>
        </patternFill>
      </fill>
      <border>
        <bottom style="medium">
          <color theme="1"/>
        </bottom>
      </border>
    </dxf>
    <dxf>
      <font>
        <color theme="1"/>
      </font>
      <border>
        <left style="medium">
          <color theme="1"/>
        </left>
        <right style="medium">
          <color theme="1"/>
        </right>
        <top style="medium">
          <color theme="1"/>
        </top>
        <bottom style="medium">
          <color theme="1"/>
        </bottom>
        <vertical style="thin">
          <color theme="1"/>
        </vertical>
        <horizontal style="thin">
          <color theme="1"/>
        </horizontal>
      </border>
    </dxf>
  </dxfs>
  <tableStyles count="2" defaultTableStyle="TableStyleMedium2" defaultPivotStyle="PivotStyleLight16">
    <tableStyle name="TableStyleMedium17 2" pivot="0" count="4">
      <tableStyleElement type="wholeTable" dxfId="54"/>
      <tableStyleElement type="headerRow" dxfId="53"/>
      <tableStyleElement type="totalRow" dxfId="52"/>
      <tableStyleElement type="firstRowStripe" dxfId="51"/>
    </tableStyle>
    <tableStyle name="TableStyleMedium17 2 2" pivot="0" count="4">
      <tableStyleElement type="wholeTable" dxfId="50"/>
      <tableStyleElement type="headerRow" dxfId="49"/>
      <tableStyleElement type="totalRow" dxfId="48"/>
      <tableStyleElement type="firstRowStripe" dxfId="47"/>
    </tableStyle>
  </tableStyles>
  <colors>
    <mruColors>
      <color rgb="FFCCFFCC"/>
      <color rgb="FFF7E563"/>
      <color rgb="FFE3E563"/>
      <color rgb="FFD7D7CF"/>
      <color rgb="FF99FFEC"/>
      <color rgb="FF99FFCC"/>
      <color rgb="FFFFFF66"/>
      <color rgb="FFFFFF99"/>
      <color rgb="FFE1E1D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8</xdr:col>
      <xdr:colOff>601980</xdr:colOff>
      <xdr:row>36</xdr:row>
      <xdr:rowOff>161924</xdr:rowOff>
    </xdr:to>
    <xdr:sp macro="" textlink="">
      <xdr:nvSpPr>
        <xdr:cNvPr id="2" name="Text Box 1"/>
        <xdr:cNvSpPr txBox="1">
          <a:spLocks noChangeArrowheads="1"/>
        </xdr:cNvSpPr>
      </xdr:nvSpPr>
      <xdr:spPr bwMode="auto">
        <a:xfrm>
          <a:off x="1" y="0"/>
          <a:ext cx="5478779" cy="5991224"/>
        </a:xfrm>
        <a:prstGeom prst="rect">
          <a:avLst/>
        </a:prstGeom>
        <a:solidFill>
          <a:sysClr val="window" lastClr="FFFFFF"/>
        </a:solidFill>
        <a:ln w="9525">
          <a:solidFill>
            <a:srgbClr xmlns:mc="http://schemas.openxmlformats.org/markup-compatibility/2006" xmlns:a14="http://schemas.microsoft.com/office/drawing/2010/main" val="FFFFCC" mc:Ignorable="a14" a14:legacySpreadsheetColorIndex="26"/>
          </a:solidFill>
          <a:prstDash val="sysDot"/>
          <a:miter lim="800000"/>
          <a:headEnd/>
          <a:tailEnd/>
        </a:ln>
      </xdr:spPr>
      <xdr:txBody>
        <a:bodyPr vertOverflow="clip" wrap="square" lIns="274320" tIns="45720" rIns="274320" bIns="45720" anchor="t" upright="1"/>
        <a:lstStyle/>
        <a:p>
          <a:pPr algn="l" rtl="0">
            <a:lnSpc>
              <a:spcPts val="1300"/>
            </a:lnSpc>
            <a:defRPr sz="1000"/>
          </a:pPr>
          <a:endParaRPr lang="en-US" sz="1200" b="1" i="0" u="none" strike="noStrike" baseline="0">
            <a:solidFill>
              <a:srgbClr val="000000"/>
            </a:solidFill>
            <a:latin typeface="Arial"/>
            <a:cs typeface="Arial"/>
          </a:endParaRPr>
        </a:p>
        <a:p>
          <a:pPr algn="l" rtl="0">
            <a:lnSpc>
              <a:spcPts val="1700"/>
            </a:lnSpc>
            <a:defRPr sz="1000"/>
          </a:pPr>
          <a:r>
            <a:rPr lang="en-US" sz="1200" b="1" i="0" u="none" strike="noStrike" baseline="0">
              <a:solidFill>
                <a:srgbClr val="000000"/>
              </a:solidFill>
              <a:latin typeface="Arial" panose="020B0604020202020204" pitchFamily="34" charset="0"/>
              <a:cs typeface="Arial" panose="020B0604020202020204" pitchFamily="34" charset="0"/>
            </a:rPr>
            <a:t>                                            </a:t>
          </a:r>
          <a:r>
            <a:rPr lang="en-US" sz="1600" b="0" i="0" u="none" strike="noStrike" baseline="0">
              <a:solidFill>
                <a:srgbClr val="0066CC"/>
              </a:solidFill>
              <a:latin typeface="Arial" panose="020B0604020202020204" pitchFamily="34" charset="0"/>
              <a:cs typeface="Arial" panose="020B0604020202020204" pitchFamily="34" charset="0"/>
            </a:rPr>
            <a:t>Introduction to the</a:t>
          </a:r>
        </a:p>
        <a:p>
          <a:pPr algn="l" rtl="0">
            <a:lnSpc>
              <a:spcPts val="1700"/>
            </a:lnSpc>
            <a:defRPr sz="1000"/>
          </a:pPr>
          <a:r>
            <a:rPr lang="en-US" sz="1600" b="0" i="0" u="none" strike="noStrike" baseline="0">
              <a:solidFill>
                <a:srgbClr val="0066CC"/>
              </a:solidFill>
              <a:latin typeface="Arial" panose="020B0604020202020204" pitchFamily="34" charset="0"/>
              <a:cs typeface="Arial" panose="020B0604020202020204" pitchFamily="34" charset="0"/>
            </a:rPr>
            <a:t>                2014-15 CSRDE Main Retention Survey</a:t>
          </a:r>
        </a:p>
        <a:p>
          <a:pPr algn="l" rtl="0">
            <a:lnSpc>
              <a:spcPts val="1700"/>
            </a:lnSpc>
            <a:defRPr sz="1000"/>
          </a:pPr>
          <a:r>
            <a:rPr lang="en-US" sz="1600" b="0" i="0" u="none" strike="noStrike" baseline="0">
              <a:solidFill>
                <a:srgbClr val="0066CC"/>
              </a:solidFill>
              <a:latin typeface="Arial" panose="020B0604020202020204" pitchFamily="34" charset="0"/>
              <a:cs typeface="Arial" panose="020B0604020202020204" pitchFamily="34" charset="0"/>
            </a:rPr>
            <a:t>                                  for 4-year Institutions</a:t>
          </a:r>
        </a:p>
        <a:p>
          <a:pPr algn="l" rtl="0">
            <a:lnSpc>
              <a:spcPts val="1300"/>
            </a:lnSpc>
            <a:defRPr sz="1000"/>
          </a:pPr>
          <a:endParaRPr lang="en-US" sz="1200" b="0" i="0" u="none" strike="noStrike" baseline="0">
            <a:solidFill>
              <a:srgbClr val="333399"/>
            </a:solidFill>
            <a:latin typeface="Arial"/>
            <a:cs typeface="Arial"/>
          </a:endParaRPr>
        </a:p>
        <a:p>
          <a:pPr algn="l" rtl="0">
            <a:lnSpc>
              <a:spcPts val="1300"/>
            </a:lnSpc>
            <a:defRPr sz="1000"/>
          </a:pPr>
          <a:endParaRPr lang="en-US" sz="1400" b="0" i="0" u="sng" strike="noStrike" baseline="0">
            <a:solidFill>
              <a:srgbClr val="C00000"/>
            </a:solidFill>
            <a:latin typeface="Times New Roman" panose="02020603050405020304" pitchFamily="18" charset="0"/>
            <a:cs typeface="Times New Roman" panose="02020603050405020304" pitchFamily="18" charset="0"/>
          </a:endParaRPr>
        </a:p>
        <a:p>
          <a:pPr algn="l" rtl="0">
            <a:lnSpc>
              <a:spcPts val="1300"/>
            </a:lnSpc>
            <a:defRPr sz="1000"/>
          </a:pPr>
          <a:endParaRPr lang="en-US" sz="1200" b="0" i="0" u="none" strike="noStrike" baseline="0">
            <a:solidFill>
              <a:srgbClr val="333399"/>
            </a:solidFill>
            <a:latin typeface="Times New Roman" panose="02020603050405020304" pitchFamily="18" charset="0"/>
            <a:cs typeface="Times New Roman" panose="02020603050405020304" pitchFamily="18" charset="0"/>
          </a:endParaRPr>
        </a:p>
        <a:p>
          <a:pPr algn="l" rtl="0">
            <a:lnSpc>
              <a:spcPts val="1300"/>
            </a:lnSpc>
            <a:defRPr sz="1000"/>
          </a:pPr>
          <a:r>
            <a:rPr lang="en-US" sz="1050" b="0" i="0" u="none" strike="noStrike" baseline="0">
              <a:solidFill>
                <a:srgbClr val="0066CC"/>
              </a:solidFill>
              <a:latin typeface="Arial" panose="020B0604020202020204" pitchFamily="34" charset="0"/>
              <a:cs typeface="Arial" panose="020B0604020202020204" pitchFamily="34" charset="0"/>
            </a:rPr>
            <a:t>This survey workbook consists of six individual worksheets, plus one optional worksheet. </a:t>
          </a:r>
          <a:r>
            <a:rPr lang="en-US" sz="1050" b="1" i="0" u="none" strike="noStrike" baseline="0">
              <a:solidFill>
                <a:srgbClr val="0066CC"/>
              </a:solidFill>
              <a:latin typeface="Arial" panose="020B0604020202020204" pitchFamily="34" charset="0"/>
              <a:cs typeface="Arial" panose="020B0604020202020204" pitchFamily="34" charset="0"/>
            </a:rPr>
            <a:t>Review carefully the Instructions, Definitions, and Documentation tabs </a:t>
          </a:r>
          <a:r>
            <a:rPr lang="en-US" sz="1050" b="0" i="0" u="none" strike="noStrike" baseline="0">
              <a:solidFill>
                <a:srgbClr val="0066CC"/>
              </a:solidFill>
              <a:latin typeface="Arial" panose="020B0604020202020204" pitchFamily="34" charset="0"/>
              <a:cs typeface="Arial" panose="020B0604020202020204" pitchFamily="34" charset="0"/>
            </a:rPr>
            <a:t>before completing the survey.</a:t>
          </a:r>
        </a:p>
        <a:p>
          <a:pPr algn="l" rtl="0">
            <a:lnSpc>
              <a:spcPts val="1300"/>
            </a:lnSpc>
            <a:defRPr sz="1000"/>
          </a:pPr>
          <a:endParaRPr lang="en-US" sz="1050" b="0" i="0" u="none" strike="noStrike" baseline="0">
            <a:solidFill>
              <a:srgbClr val="0066CC"/>
            </a:solidFill>
            <a:latin typeface="Arial" panose="020B0604020202020204" pitchFamily="34" charset="0"/>
            <a:cs typeface="Arial" panose="020B0604020202020204" pitchFamily="34" charset="0"/>
          </a:endParaRPr>
        </a:p>
        <a:p>
          <a:pPr algn="l" rtl="0">
            <a:lnSpc>
              <a:spcPts val="1300"/>
            </a:lnSpc>
            <a:defRPr sz="1000"/>
          </a:pPr>
          <a:r>
            <a:rPr lang="en-US" sz="1050" b="1" i="0" u="none" strike="noStrike" baseline="0">
              <a:solidFill>
                <a:srgbClr val="0066CC"/>
              </a:solidFill>
              <a:latin typeface="Arial" panose="020B0604020202020204" pitchFamily="34" charset="0"/>
              <a:cs typeface="Arial" panose="020B0604020202020204" pitchFamily="34" charset="0"/>
            </a:rPr>
            <a:t>Note: The Definitions and Documentation tabs are at the end of the workbook.</a:t>
          </a:r>
          <a:endParaRPr lang="en-US" sz="1050" b="0" i="0" u="none" strike="noStrike" baseline="0">
            <a:solidFill>
              <a:srgbClr val="0066CC"/>
            </a:solidFill>
            <a:latin typeface="Arial" panose="020B0604020202020204" pitchFamily="34" charset="0"/>
            <a:cs typeface="Arial" panose="020B0604020202020204" pitchFamily="34" charset="0"/>
          </a:endParaRPr>
        </a:p>
        <a:p>
          <a:pPr algn="l" rtl="0">
            <a:lnSpc>
              <a:spcPts val="1200"/>
            </a:lnSpc>
            <a:defRPr sz="1000"/>
          </a:pPr>
          <a:endParaRPr lang="en-US" sz="1050" b="0" i="0" u="none" strike="noStrike" baseline="0">
            <a:solidFill>
              <a:srgbClr val="0066CC"/>
            </a:solidFill>
            <a:latin typeface="Arial" panose="020B0604020202020204" pitchFamily="34" charset="0"/>
            <a:cs typeface="Arial" panose="020B0604020202020204" pitchFamily="34" charset="0"/>
          </a:endParaRPr>
        </a:p>
        <a:p>
          <a:pPr algn="l" rtl="0">
            <a:lnSpc>
              <a:spcPts val="1200"/>
            </a:lnSpc>
            <a:defRPr sz="1000"/>
          </a:pPr>
          <a:r>
            <a:rPr lang="en-US" sz="1050" b="1" i="0" u="none" strike="noStrike" baseline="0">
              <a:solidFill>
                <a:srgbClr val="0066CC"/>
              </a:solidFill>
              <a:latin typeface="Arial" panose="020B0604020202020204" pitchFamily="34" charset="0"/>
              <a:cs typeface="Arial" panose="020B0604020202020204" pitchFamily="34" charset="0"/>
            </a:rPr>
            <a:t>Section I, Characteristics, and Section I Checklist are required. </a:t>
          </a:r>
          <a:r>
            <a:rPr lang="en-US" sz="1050" b="0" i="0" u="none" strike="noStrike" baseline="0">
              <a:solidFill>
                <a:srgbClr val="0066CC"/>
              </a:solidFill>
              <a:latin typeface="Arial" panose="020B0604020202020204" pitchFamily="34" charset="0"/>
              <a:cs typeface="Arial" panose="020B0604020202020204" pitchFamily="34" charset="0"/>
            </a:rPr>
            <a:t>Section I_Alternative is an </a:t>
          </a:r>
          <a:r>
            <a:rPr lang="en-US" sz="1050" b="0" i="0" u="sng" strike="noStrike" baseline="0">
              <a:solidFill>
                <a:srgbClr val="0066CC"/>
              </a:solidFill>
              <a:latin typeface="Arial" panose="020B0604020202020204" pitchFamily="34" charset="0"/>
              <a:cs typeface="Arial" panose="020B0604020202020204" pitchFamily="34" charset="0"/>
            </a:rPr>
            <a:t>optional</a:t>
          </a:r>
          <a:r>
            <a:rPr lang="en-US" sz="1050" b="0" i="0" u="none" strike="noStrike" baseline="0">
              <a:solidFill>
                <a:srgbClr val="0066CC"/>
              </a:solidFill>
              <a:latin typeface="Arial" panose="020B0604020202020204" pitchFamily="34" charset="0"/>
              <a:cs typeface="Arial" panose="020B0604020202020204" pitchFamily="34" charset="0"/>
            </a:rPr>
            <a:t> way to enter your data into the Section I worksheet. </a:t>
          </a:r>
        </a:p>
        <a:p>
          <a:pPr algn="l" rtl="0">
            <a:lnSpc>
              <a:spcPts val="1200"/>
            </a:lnSpc>
            <a:defRPr sz="1000"/>
          </a:pPr>
          <a:endParaRPr lang="en-US" sz="1050" b="0" i="0" u="none" strike="noStrike" baseline="0">
            <a:solidFill>
              <a:srgbClr val="0066CC"/>
            </a:solidFill>
            <a:latin typeface="Arial" panose="020B0604020202020204" pitchFamily="34" charset="0"/>
            <a:cs typeface="Arial" panose="020B0604020202020204" pitchFamily="34" charset="0"/>
          </a:endParaRPr>
        </a:p>
        <a:p>
          <a:pPr algn="l" rtl="0">
            <a:lnSpc>
              <a:spcPts val="1200"/>
            </a:lnSpc>
            <a:defRPr sz="1000"/>
          </a:pPr>
          <a:r>
            <a:rPr lang="en-US" sz="1050" b="0" i="0" u="none" strike="noStrike" baseline="0">
              <a:solidFill>
                <a:srgbClr val="0066CC"/>
              </a:solidFill>
              <a:latin typeface="Arial" panose="020B0604020202020204" pitchFamily="34" charset="0"/>
              <a:cs typeface="Arial" panose="020B0604020202020204" pitchFamily="34" charset="0"/>
            </a:rPr>
            <a:t>Alert check messages are incorporated into the Section I worksheet. As you enter data you may see colorful cells. Most of the alerts will disappear after you have finished entering all of your data. However, if you still have alerts appearing in the Section I data after you have completed and saved the survey, use the legend in the Section I worksheet or the Section I Checklist to help you understand the meaning of each color. If you still have alerts appearing in the data after you have reviewed Section I and made changes, please explain on the Section I Checklist in the appropriate section.</a:t>
          </a:r>
        </a:p>
        <a:p>
          <a:pPr algn="l" rtl="0">
            <a:lnSpc>
              <a:spcPts val="1200"/>
            </a:lnSpc>
            <a:defRPr sz="1000"/>
          </a:pPr>
          <a:endParaRPr lang="en-US" sz="1050" b="1" i="0" u="none" strike="noStrike" baseline="0">
            <a:solidFill>
              <a:srgbClr val="0066CC"/>
            </a:solidFill>
            <a:latin typeface="Arial" panose="020B0604020202020204" pitchFamily="34" charset="0"/>
            <a:cs typeface="Arial" panose="020B0604020202020204" pitchFamily="34" charset="0"/>
          </a:endParaRPr>
        </a:p>
        <a:p>
          <a:pPr algn="l" rtl="0">
            <a:lnSpc>
              <a:spcPts val="1200"/>
            </a:lnSpc>
            <a:defRPr sz="1000"/>
          </a:pPr>
          <a:r>
            <a:rPr lang="en-US" sz="1050" b="0" i="0" u="none" strike="noStrike" baseline="0">
              <a:solidFill>
                <a:srgbClr val="0066CC"/>
              </a:solidFill>
              <a:latin typeface="Arial" panose="020B0604020202020204" pitchFamily="34" charset="0"/>
              <a:cs typeface="Arial" panose="020B0604020202020204" pitchFamily="34" charset="0"/>
            </a:rPr>
            <a:t>Once you have completed the Section 1 and Characteristics data and made any necessary notes on the Section I Checklist, then upload the completed survey into your "Drop Box" on the CSRDE secure website by </a:t>
          </a:r>
          <a:r>
            <a:rPr lang="en-US" sz="1050" b="1" i="0" u="none" strike="noStrike" baseline="0">
              <a:solidFill>
                <a:srgbClr val="0066CC"/>
              </a:solidFill>
              <a:latin typeface="Arial" panose="020B0604020202020204" pitchFamily="34" charset="0"/>
              <a:cs typeface="Arial" panose="020B0604020202020204" pitchFamily="34" charset="0"/>
            </a:rPr>
            <a:t>March 6, 2015</a:t>
          </a:r>
          <a:r>
            <a:rPr lang="en-US" sz="1050" b="0" i="0" u="none" strike="noStrike" baseline="0">
              <a:solidFill>
                <a:srgbClr val="0066CC"/>
              </a:solidFill>
              <a:latin typeface="Arial" panose="020B0604020202020204" pitchFamily="34" charset="0"/>
              <a:cs typeface="Arial" panose="020B0604020202020204" pitchFamily="34" charset="0"/>
            </a:rPr>
            <a:t>. To access the member website, go to http://csrde.ou.edu and then click on "institutional members only login" at the top right.</a:t>
          </a:r>
        </a:p>
        <a:p>
          <a:pPr algn="l" rtl="0">
            <a:lnSpc>
              <a:spcPts val="1300"/>
            </a:lnSpc>
            <a:defRPr sz="1000"/>
          </a:pPr>
          <a:endParaRPr lang="en-US" sz="1050" b="0" i="0" u="none" strike="noStrike" baseline="0">
            <a:solidFill>
              <a:srgbClr val="0066CC"/>
            </a:solidFill>
            <a:latin typeface="Arial" panose="020B0604020202020204" pitchFamily="34" charset="0"/>
            <a:cs typeface="Arial" panose="020B0604020202020204" pitchFamily="34" charset="0"/>
          </a:endParaRPr>
        </a:p>
        <a:p>
          <a:pPr algn="l" rtl="0">
            <a:lnSpc>
              <a:spcPts val="1300"/>
            </a:lnSpc>
            <a:defRPr sz="1000"/>
          </a:pPr>
          <a:r>
            <a:rPr lang="en-US" sz="1050" b="0" i="0" u="none" strike="noStrike" baseline="0">
              <a:solidFill>
                <a:srgbClr val="0066CC"/>
              </a:solidFill>
              <a:latin typeface="Arial" panose="020B0604020202020204" pitchFamily="34" charset="0"/>
              <a:cs typeface="Arial" panose="020B0604020202020204" pitchFamily="34" charset="0"/>
            </a:rPr>
            <a:t>To complete the survey, please begin by reviewing the Instructions, Definitions, and Documentation. Thank you.</a:t>
          </a:r>
          <a:endParaRPr lang="en-US" sz="1050" b="0" i="0" u="none" strike="noStrike" baseline="0">
            <a:solidFill>
              <a:srgbClr val="333399"/>
            </a:solidFill>
            <a:latin typeface="Arial" panose="020B0604020202020204" pitchFamily="34" charset="0"/>
            <a:cs typeface="Arial" panose="020B0604020202020204" pitchFamily="34" charset="0"/>
          </a:endParaRPr>
        </a:p>
        <a:p>
          <a:pPr algn="l" rtl="0">
            <a:lnSpc>
              <a:spcPts val="1300"/>
            </a:lnSpc>
            <a:defRPr sz="1000"/>
          </a:pPr>
          <a:endParaRPr lang="en-US" sz="1050" b="0" i="0" u="none" strike="noStrike" baseline="0">
            <a:solidFill>
              <a:srgbClr val="C00000"/>
            </a:solidFill>
            <a:latin typeface="Arial"/>
            <a:cs typeface="Arial"/>
          </a:endParaRPr>
        </a:p>
        <a:p>
          <a:pPr algn="l" rtl="0">
            <a:lnSpc>
              <a:spcPts val="1300"/>
            </a:lnSpc>
            <a:defRPr sz="1000"/>
          </a:pPr>
          <a:endParaRPr lang="en-US" sz="1100" b="1" i="0" u="none" strike="noStrike" baseline="0">
            <a:solidFill>
              <a:srgbClr val="C00000"/>
            </a:solidFill>
            <a:latin typeface="Arial"/>
            <a:cs typeface="Arial"/>
          </a:endParaRPr>
        </a:p>
        <a:p>
          <a:pPr algn="l" rtl="0">
            <a:lnSpc>
              <a:spcPts val="1300"/>
            </a:lnSpc>
            <a:defRPr sz="1000"/>
          </a:pPr>
          <a:endParaRPr lang="en-US" sz="1100" b="1" i="0" u="none" strike="noStrike" baseline="0">
            <a:solidFill>
              <a:srgbClr val="C00000"/>
            </a:solidFill>
            <a:latin typeface="Arial"/>
            <a:cs typeface="Arial"/>
          </a:endParaRPr>
        </a:p>
        <a:p>
          <a:pPr algn="l" rtl="0">
            <a:lnSpc>
              <a:spcPts val="1300"/>
            </a:lnSpc>
            <a:defRPr sz="1000"/>
          </a:pPr>
          <a:endParaRPr lang="en-US" sz="1100" b="0" i="0" u="none" strike="noStrike" baseline="0">
            <a:solidFill>
              <a:srgbClr val="C00000"/>
            </a:solidFill>
            <a:latin typeface="Arial"/>
            <a:cs typeface="Arial"/>
          </a:endParaRPr>
        </a:p>
        <a:p>
          <a:pPr algn="l" rtl="0">
            <a:lnSpc>
              <a:spcPts val="1200"/>
            </a:lnSpc>
            <a:defRPr sz="1000"/>
          </a:pPr>
          <a:endParaRPr lang="en-US" sz="1100" b="0" i="0" u="none" strike="noStrike" baseline="0">
            <a:solidFill>
              <a:srgbClr val="C00000"/>
            </a:solidFill>
            <a:latin typeface="Arial"/>
            <a:cs typeface="Arial"/>
          </a:endParaRPr>
        </a:p>
        <a:p>
          <a:pPr algn="l" rtl="0">
            <a:lnSpc>
              <a:spcPts val="1300"/>
            </a:lnSpc>
            <a:defRPr sz="1000"/>
          </a:pPr>
          <a:endParaRPr lang="en-US" sz="1200" b="1" i="0" u="none" strike="noStrike" baseline="0">
            <a:solidFill>
              <a:srgbClr val="0066CC"/>
            </a:solidFill>
            <a:latin typeface="Arial"/>
            <a:cs typeface="Arial"/>
          </a:endParaRPr>
        </a:p>
        <a:p>
          <a:pPr algn="l" rtl="0">
            <a:lnSpc>
              <a:spcPts val="1200"/>
            </a:lnSpc>
            <a:defRPr sz="1000"/>
          </a:pPr>
          <a:endParaRPr lang="en-US" sz="1200" b="1" i="0" u="none" strike="noStrike" baseline="0">
            <a:solidFill>
              <a:srgbClr val="0066CC"/>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19</xdr:row>
      <xdr:rowOff>85725</xdr:rowOff>
    </xdr:from>
    <xdr:to>
      <xdr:col>14</xdr:col>
      <xdr:colOff>9525</xdr:colOff>
      <xdr:row>70</xdr:row>
      <xdr:rowOff>152400</xdr:rowOff>
    </xdr:to>
    <xdr:sp macro="" textlink="">
      <xdr:nvSpPr>
        <xdr:cNvPr id="2" name="Text Box 1"/>
        <xdr:cNvSpPr txBox="1">
          <a:spLocks noChangeArrowheads="1"/>
        </xdr:cNvSpPr>
      </xdr:nvSpPr>
      <xdr:spPr bwMode="auto">
        <a:xfrm>
          <a:off x="19049" y="3124200"/>
          <a:ext cx="6305551" cy="82772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US" sz="1200" b="1" i="0" u="none" strike="noStrike" baseline="0">
              <a:solidFill>
                <a:srgbClr val="000000"/>
              </a:solidFill>
              <a:latin typeface="Arial"/>
              <a:cs typeface="Arial"/>
            </a:rPr>
            <a:t>Tips For Completing CSRDE Main Retention Survey</a:t>
          </a:r>
        </a:p>
        <a:p>
          <a:pPr algn="l" rtl="0">
            <a:defRPr sz="1000"/>
          </a:pPr>
          <a:endParaRPr lang="en-US" sz="1200" b="1" i="0" u="none" strike="noStrike" baseline="0">
            <a:solidFill>
              <a:srgbClr val="000000"/>
            </a:solidFill>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Arial" panose="020B0604020202020204" pitchFamily="34" charset="0"/>
              <a:ea typeface="+mn-ea"/>
              <a:cs typeface="Arial" panose="020B0604020202020204" pitchFamily="34" charset="0"/>
            </a:rPr>
            <a:t>If you need to make changes to previously submitted data, you may do so in the Section I tab of this workbook. Include a note in the Section 1 comments box stating that some changes were made to previous data; however, you do not need to list each change specifically.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   Check that all components are completed before submitting to CSRDE: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1. Section I</a:t>
          </a:r>
        </a:p>
        <a:p>
          <a:pPr algn="l" rtl="0">
            <a:defRPr sz="1000"/>
          </a:pPr>
          <a:r>
            <a:rPr lang="en-US" sz="1000" b="0" i="0" u="none" strike="noStrike" baseline="0">
              <a:solidFill>
                <a:srgbClr val="000000"/>
              </a:solidFill>
              <a:latin typeface="Arial"/>
              <a:cs typeface="Arial"/>
            </a:rPr>
            <a:t> 2. Characteristics</a:t>
          </a:r>
        </a:p>
        <a:p>
          <a:pPr algn="l" rtl="0">
            <a:defRPr sz="1000"/>
          </a:pPr>
          <a:r>
            <a:rPr lang="en-US" sz="1000" b="0" i="0" u="none" strike="noStrike" baseline="0">
              <a:solidFill>
                <a:srgbClr val="000000"/>
              </a:solidFill>
              <a:latin typeface="Arial"/>
              <a:cs typeface="Arial"/>
            </a:rPr>
            <a:t> 3. Section I Checklist</a:t>
          </a:r>
        </a:p>
        <a:p>
          <a:pPr algn="l" rtl="0">
            <a:defRPr sz="1000"/>
          </a:pPr>
          <a:r>
            <a:rPr lang="en-US" sz="1000" b="0" i="0" u="none" strike="noStrike" baseline="0">
              <a:solidFill>
                <a:srgbClr val="000000"/>
              </a:solidFill>
              <a:latin typeface="Arial"/>
              <a:cs typeface="Arial"/>
            </a:rPr>
            <a:t>  </a:t>
          </a:r>
        </a:p>
        <a:p>
          <a:pPr algn="l" rtl="0">
            <a:defRPr sz="1000"/>
          </a:pPr>
          <a:r>
            <a:rPr lang="en-US" sz="1000" b="1" i="0" u="none" strike="noStrike" baseline="0">
              <a:solidFill>
                <a:srgbClr val="000000"/>
              </a:solidFill>
              <a:latin typeface="Arial"/>
              <a:cs typeface="Arial"/>
            </a:rPr>
            <a:t>II.  Section I</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1. Fill in all cells for each cohort year and type if headcount is greater than zero (0). If headcount is </a:t>
          </a:r>
        </a:p>
        <a:p>
          <a:pPr algn="l" rtl="0">
            <a:defRPr sz="1000"/>
          </a:pPr>
          <a:r>
            <a:rPr lang="en-US" sz="1000" b="0" i="0" u="none" strike="noStrike" baseline="0">
              <a:solidFill>
                <a:srgbClr val="000000"/>
              </a:solidFill>
              <a:latin typeface="Arial"/>
              <a:cs typeface="Arial"/>
            </a:rPr>
            <a:t>     zero (0), enter zero (0) in the headcount column, and leave the other cells blank. (Please do not put N/A)</a:t>
          </a:r>
        </a:p>
        <a:p>
          <a:pPr algn="l" rtl="0">
            <a:defRPr sz="1000"/>
          </a:pPr>
          <a:r>
            <a:rPr lang="en-US" sz="1000" b="0" i="0" u="none" strike="noStrike" baseline="0">
              <a:solidFill>
                <a:srgbClr val="000000"/>
              </a:solidFill>
              <a:latin typeface="Arial"/>
              <a:cs typeface="Arial"/>
            </a:rPr>
            <a:t> 2. For each cohort year, Male Headcount + Female Headcount should equal Total Headcount. If </a:t>
          </a:r>
        </a:p>
        <a:p>
          <a:pPr algn="l" rtl="0">
            <a:defRPr sz="1000"/>
          </a:pPr>
          <a:r>
            <a:rPr lang="en-US" sz="1000" b="0" i="0" u="none" strike="noStrike" baseline="0">
              <a:solidFill>
                <a:srgbClr val="000000"/>
              </a:solidFill>
              <a:latin typeface="Arial"/>
              <a:cs typeface="Arial"/>
            </a:rPr>
            <a:t>     undeclared/unknown gender, please note on Checklist.</a:t>
          </a:r>
        </a:p>
        <a:p>
          <a:pPr algn="l" rtl="0">
            <a:defRPr sz="1000"/>
          </a:pPr>
          <a:r>
            <a:rPr lang="en-US" sz="1000" b="0" i="0" u="none" strike="noStrike" baseline="0">
              <a:solidFill>
                <a:srgbClr val="000000"/>
              </a:solidFill>
              <a:latin typeface="Arial"/>
              <a:cs typeface="Arial"/>
            </a:rPr>
            <a:t> 3. The sum of all ethnic headcounts should equal the Total cohort headcount for each cohort year.</a:t>
          </a:r>
        </a:p>
        <a:p>
          <a:pPr algn="l" rtl="0">
            <a:defRPr sz="1000"/>
          </a:pPr>
          <a:r>
            <a:rPr lang="en-US" sz="1000" b="0" i="0" u="none" strike="noStrike" baseline="0">
              <a:solidFill>
                <a:srgbClr val="000000"/>
              </a:solidFill>
              <a:latin typeface="Arial"/>
              <a:cs typeface="Arial"/>
            </a:rPr>
            <a:t> 4. Continuation rates should be lower than or equal to the previous year’s rates. If it is higher due to stop-outs</a:t>
          </a:r>
        </a:p>
        <a:p>
          <a:pPr algn="l" rtl="0">
            <a:defRPr sz="1000"/>
          </a:pPr>
          <a:r>
            <a:rPr lang="en-US" sz="1000" b="0" i="0" u="none" strike="noStrike" baseline="0">
              <a:solidFill>
                <a:srgbClr val="000000"/>
              </a:solidFill>
              <a:latin typeface="Arial"/>
              <a:cs typeface="Arial"/>
            </a:rPr>
            <a:t>     or other reason such as allowable exclusions, please note on the checklist. </a:t>
          </a:r>
        </a:p>
        <a:p>
          <a:pPr algn="l" rtl="0">
            <a:defRPr sz="1000"/>
          </a:pPr>
          <a:r>
            <a:rPr lang="en-US" sz="1000" b="0" i="0" u="none" strike="noStrike" baseline="0">
              <a:solidFill>
                <a:srgbClr val="000000"/>
              </a:solidFill>
              <a:latin typeface="Arial"/>
              <a:cs typeface="Arial"/>
            </a:rPr>
            <a:t> 5. Graduation rates are cumulative and should be progressively higher or the same as the previous year’s   </a:t>
          </a:r>
        </a:p>
        <a:p>
          <a:pPr algn="l" rtl="0">
            <a:defRPr sz="1000"/>
          </a:pPr>
          <a:r>
            <a:rPr lang="en-US" sz="1000" b="0" i="0" u="none" strike="noStrike" baseline="0">
              <a:solidFill>
                <a:srgbClr val="000000"/>
              </a:solidFill>
              <a:latin typeface="Arial"/>
              <a:cs typeface="Arial"/>
            </a:rPr>
            <a:t>     rates. If rates on the Section 1 worksheet appear to be the same yet an alert appears, it is probably due to  </a:t>
          </a:r>
        </a:p>
        <a:p>
          <a:pPr algn="l" rtl="0">
            <a:defRPr sz="1000"/>
          </a:pPr>
          <a:r>
            <a:rPr lang="en-US" sz="1000" b="0" i="0" u="none" strike="noStrike" baseline="0">
              <a:solidFill>
                <a:srgbClr val="000000"/>
              </a:solidFill>
              <a:latin typeface="Arial"/>
              <a:cs typeface="Arial"/>
            </a:rPr>
            <a:t>     rounding. If you are using the Section I_Alternative worksheet, make the change there. If you are entering </a:t>
          </a:r>
        </a:p>
        <a:p>
          <a:pPr algn="l" rtl="0">
            <a:defRPr sz="1000"/>
          </a:pPr>
          <a:r>
            <a:rPr lang="en-US" sz="1000" b="0" i="0" u="none" strike="noStrike" baseline="0">
              <a:solidFill>
                <a:srgbClr val="000000"/>
              </a:solidFill>
              <a:latin typeface="Arial"/>
              <a:cs typeface="Arial"/>
            </a:rPr>
            <a:t>     data directly into the Section 1 worksheet, retype the two rates to remove the rounding issue. </a:t>
          </a:r>
        </a:p>
        <a:p>
          <a:pPr algn="l" rtl="0">
            <a:defRPr sz="1000"/>
          </a:pPr>
          <a:r>
            <a:rPr lang="en-US" sz="1000" b="0" i="0" u="none" strike="noStrike" baseline="0">
              <a:solidFill>
                <a:srgbClr val="000000"/>
              </a:solidFill>
              <a:latin typeface="Arial"/>
              <a:cs typeface="Arial"/>
            </a:rPr>
            <a:t> 6. Continuation rates + graduation rates for any given year must be 100% or less. For example: graduated in</a:t>
          </a:r>
        </a:p>
        <a:p>
          <a:pPr algn="l" rtl="0">
            <a:defRPr sz="1000"/>
          </a:pPr>
          <a:r>
            <a:rPr lang="en-US" sz="1000" b="0" i="0" u="none" strike="noStrike" baseline="0">
              <a:solidFill>
                <a:srgbClr val="000000"/>
              </a:solidFill>
              <a:latin typeface="Arial"/>
              <a:cs typeface="Arial"/>
            </a:rPr>
            <a:t>     4 years + continued to 5th year rates cannot be greater than 100%.</a:t>
          </a:r>
        </a:p>
        <a:p>
          <a:pPr algn="l" rtl="0">
            <a:defRPr sz="1000"/>
          </a:pPr>
          <a:r>
            <a:rPr lang="en-US" sz="1000" b="0" i="0" u="none" strike="noStrike" baseline="0">
              <a:solidFill>
                <a:srgbClr val="000000"/>
              </a:solidFill>
              <a:latin typeface="Arial"/>
              <a:cs typeface="Arial"/>
            </a:rPr>
            <a:t> 7. </a:t>
          </a:r>
          <a:r>
            <a:rPr lang="en-US" sz="1000" b="0" i="0" u="none" strike="noStrike" baseline="0">
              <a:solidFill>
                <a:sysClr val="windowText" lastClr="000000"/>
              </a:solidFill>
              <a:latin typeface="Arial"/>
              <a:cs typeface="Arial"/>
            </a:rPr>
            <a:t>A light red alert will appear for any rate that is &lt;0 or &gt; 100%. Check for a typo if this occurs.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III. Characteristics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1. Enter data for Fall 2008 and Fall 2013.</a:t>
          </a:r>
        </a:p>
        <a:p>
          <a:pPr algn="l" rtl="0">
            <a:defRPr sz="1000"/>
          </a:pPr>
          <a:r>
            <a:rPr lang="en-US" sz="1000" b="0" i="0" u="none" strike="noStrike" baseline="0">
              <a:solidFill>
                <a:srgbClr val="000000"/>
              </a:solidFill>
              <a:latin typeface="Arial"/>
              <a:cs typeface="Arial"/>
            </a:rPr>
            <a:t> 2. Total Headcount Enrollment includes </a:t>
          </a:r>
          <a:r>
            <a:rPr lang="en-US" sz="1000" b="0" i="0" u="sng" strike="noStrike" baseline="0">
              <a:solidFill>
                <a:srgbClr val="000000"/>
              </a:solidFill>
              <a:latin typeface="Arial"/>
              <a:cs typeface="Arial"/>
            </a:rPr>
            <a:t>all</a:t>
          </a:r>
          <a:r>
            <a:rPr lang="en-US" sz="1000" b="0" i="0" u="none" strike="noStrike" baseline="0">
              <a:solidFill>
                <a:srgbClr val="000000"/>
              </a:solidFill>
              <a:latin typeface="Arial"/>
              <a:cs typeface="Arial"/>
            </a:rPr>
            <a:t> students, not just first-time, full-time, degree-seeking freshmen.</a:t>
          </a:r>
        </a:p>
        <a:p>
          <a:pPr algn="l" rtl="0">
            <a:defRPr sz="1000"/>
          </a:pPr>
          <a:r>
            <a:rPr lang="en-US" sz="1000" b="0" i="0" u="none" strike="noStrike" baseline="0">
              <a:solidFill>
                <a:srgbClr val="000000"/>
              </a:solidFill>
              <a:latin typeface="Arial"/>
              <a:cs typeface="Arial"/>
            </a:rPr>
            <a:t> 3. Total Undergraduates (2.e.) is calculated from the data entered in (a. + b.) and (c. + d.). If total is incorrect, </a:t>
          </a:r>
        </a:p>
        <a:p>
          <a:pPr algn="l" rtl="0">
            <a:defRPr sz="1000"/>
          </a:pPr>
          <a:r>
            <a:rPr lang="en-US" sz="1000" b="0" i="0" u="none" strike="noStrike" baseline="0">
              <a:solidFill>
                <a:srgbClr val="000000"/>
              </a:solidFill>
              <a:latin typeface="Arial"/>
              <a:cs typeface="Arial"/>
            </a:rPr>
            <a:t>     check data in (a. and b.) and (c. and d.). All cells should have an entry, even if it is zero (0). </a:t>
          </a:r>
        </a:p>
        <a:p>
          <a:pPr algn="l" rtl="0">
            <a:defRPr sz="1000"/>
          </a:pPr>
          <a:r>
            <a:rPr lang="en-US" sz="1000" b="0" i="0" u="none" strike="noStrike" baseline="0">
              <a:solidFill>
                <a:srgbClr val="000000"/>
              </a:solidFill>
              <a:latin typeface="Arial"/>
              <a:cs typeface="Arial"/>
            </a:rPr>
            <a:t> 4. ACT/SAT scores are used to determine institution selectivity. Report the test score that is used by the </a:t>
          </a:r>
        </a:p>
        <a:p>
          <a:pPr algn="l" rtl="0">
            <a:defRPr sz="1000"/>
          </a:pPr>
          <a:r>
            <a:rPr lang="en-US" sz="1000" b="0" i="0" u="none" strike="noStrike" baseline="0">
              <a:solidFill>
                <a:srgbClr val="000000"/>
              </a:solidFill>
              <a:latin typeface="Arial"/>
              <a:cs typeface="Arial"/>
            </a:rPr>
            <a:t>     majority of your freshmen for purposes of admission, not just first-time, full-time, degree-seeking freshmen. </a:t>
          </a:r>
        </a:p>
        <a:p>
          <a:pPr algn="l" rtl="0">
            <a:defRPr sz="1000"/>
          </a:pPr>
          <a:r>
            <a:rPr lang="en-US" sz="1000" b="0" i="0" u="none" strike="noStrike" baseline="0">
              <a:solidFill>
                <a:srgbClr val="000000"/>
              </a:solidFill>
              <a:latin typeface="Arial"/>
              <a:cs typeface="Arial"/>
            </a:rPr>
            <a:t>     If reporting SAT scores, do not include the Writing score. If both test scores are reported, ACT will be used. </a:t>
          </a:r>
        </a:p>
        <a:p>
          <a:pPr algn="l" rtl="0">
            <a:defRPr sz="1000"/>
          </a:pPr>
          <a:r>
            <a:rPr lang="en-US" sz="1000" b="0" i="0" u="none" strike="noStrike" baseline="0">
              <a:solidFill>
                <a:srgbClr val="000000"/>
              </a:solidFill>
              <a:latin typeface="Arial"/>
              <a:cs typeface="Arial"/>
            </a:rPr>
            <a:t>    Using the hours and points method is preferable when calculating the scores.</a:t>
          </a:r>
        </a:p>
        <a:p>
          <a:pPr algn="l" rtl="0">
            <a:defRPr sz="1000"/>
          </a:pPr>
          <a:r>
            <a:rPr lang="en-US" sz="1000" b="0" i="0" u="none" strike="noStrike" baseline="0">
              <a:solidFill>
                <a:srgbClr val="000000"/>
              </a:solidFill>
              <a:latin typeface="Arial"/>
              <a:cs typeface="Arial"/>
            </a:rPr>
            <a:t> 5. If a value is out of range a yellow box will appear around the value. Check for a typo if this occurs.</a:t>
          </a:r>
        </a:p>
        <a:p>
          <a:pPr algn="l" rtl="0">
            <a:defRPr sz="1000"/>
          </a:pPr>
          <a:r>
            <a:rPr lang="en-US" sz="1000" b="0" i="0" u="none" strike="noStrike" baseline="0">
              <a:solidFill>
                <a:srgbClr val="000000"/>
              </a:solidFill>
              <a:latin typeface="Arial"/>
              <a:cs typeface="Arial"/>
            </a:rPr>
            <a:t> 6. Question #5 should only include federal grants, not all financial aid.</a:t>
          </a:r>
        </a:p>
        <a:p>
          <a:pPr algn="l" rtl="0">
            <a:defRPr sz="1000"/>
          </a:pPr>
          <a:r>
            <a:rPr lang="en-US" sz="1000" b="0" i="0" u="none" strike="noStrike" baseline="0">
              <a:solidFill>
                <a:srgbClr val="000000"/>
              </a:solidFill>
              <a:latin typeface="Arial"/>
              <a:cs typeface="Arial"/>
            </a:rPr>
            <a:t> 7. Save your file after entering the data to ensure that the values are calculated in # 2 and # 4.</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IV. Alert Checks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1. After entering all of your data in Section I (or Section I Alternative) and saving the file, review any alerts</a:t>
          </a:r>
        </a:p>
        <a:p>
          <a:pPr algn="l" rtl="0">
            <a:defRPr sz="1000"/>
          </a:pPr>
          <a:r>
            <a:rPr lang="en-US" sz="1000" b="0" i="0" u="none" strike="noStrike" baseline="0">
              <a:solidFill>
                <a:srgbClr val="000000"/>
              </a:solidFill>
              <a:latin typeface="Arial"/>
              <a:cs typeface="Arial"/>
            </a:rPr>
            <a:t>     appearing in the Section I worksheet, making corrections as necessary.</a:t>
          </a:r>
        </a:p>
        <a:p>
          <a:pPr algn="l" rtl="0">
            <a:defRPr sz="1000"/>
          </a:pPr>
          <a:r>
            <a:rPr lang="en-US" sz="1000" b="0" i="0" u="none" strike="noStrike" baseline="0">
              <a:solidFill>
                <a:srgbClr val="000000"/>
              </a:solidFill>
              <a:latin typeface="Arial"/>
              <a:cs typeface="Arial"/>
            </a:rPr>
            <a:t> </a:t>
          </a:r>
        </a:p>
        <a:p>
          <a:pPr algn="l" rtl="0">
            <a:defRPr sz="1000"/>
          </a:pPr>
          <a:r>
            <a:rPr lang="en-US" sz="1000" b="1" i="0" u="none" strike="noStrike" baseline="0">
              <a:solidFill>
                <a:srgbClr val="000000"/>
              </a:solidFill>
              <a:latin typeface="Arial"/>
              <a:cs typeface="Arial"/>
            </a:rPr>
            <a:t>V. Section I Checklist</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1. After reviewing the alerts and making any necessary changes to Section I, please complete the</a:t>
          </a:r>
        </a:p>
        <a:p>
          <a:pPr algn="l" rtl="0">
            <a:defRPr sz="1000"/>
          </a:pPr>
          <a:r>
            <a:rPr lang="en-US" sz="1000" b="0" i="0" u="none" strike="noStrike" baseline="0">
              <a:solidFill>
                <a:srgbClr val="000000"/>
              </a:solidFill>
              <a:latin typeface="Arial"/>
              <a:cs typeface="Arial"/>
            </a:rPr>
            <a:t>     Section I Checklist before uploading the file to the CSRDE website.</a:t>
          </a: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b="1" u="sng">
              <a:latin typeface="Arial" panose="020B0604020202020204" pitchFamily="34" charset="0"/>
              <a:cs typeface="Arial" panose="020B0604020202020204" pitchFamily="34" charset="0"/>
            </a:rPr>
            <a:t>Small cohorts and confidentiality:</a:t>
          </a:r>
        </a:p>
        <a:p>
          <a:pPr algn="l" rtl="0">
            <a:defRPr sz="1000"/>
          </a:pPr>
          <a:r>
            <a:rPr lang="en-US" b="0" u="none">
              <a:latin typeface="Arial" panose="020B0604020202020204" pitchFamily="34" charset="0"/>
              <a:cs typeface="Arial" panose="020B0604020202020204" pitchFamily="34" charset="0"/>
            </a:rPr>
            <a:t>Data from cohorts of five or fewer students is used in the aggregate sections of the reports, but is not revealed</a:t>
          </a:r>
          <a:r>
            <a:rPr lang="en-US" b="0" u="none" baseline="0">
              <a:latin typeface="Arial" panose="020B0604020202020204" pitchFamily="34" charset="0"/>
              <a:cs typeface="Arial" panose="020B0604020202020204" pitchFamily="34" charset="0"/>
            </a:rPr>
            <a:t> in peer reports or any other report.</a:t>
          </a:r>
          <a:endParaRPr lang="en-US" b="0" u="none">
            <a:latin typeface="Arial" panose="020B0604020202020204" pitchFamily="34" charset="0"/>
            <a:cs typeface="Arial" panose="020B0604020202020204" pitchFamily="34" charset="0"/>
          </a:endParaRPr>
        </a:p>
      </xdr:txBody>
    </xdr:sp>
    <xdr:clientData/>
  </xdr:twoCellAnchor>
  <xdr:twoCellAnchor>
    <xdr:from>
      <xdr:col>0</xdr:col>
      <xdr:colOff>0</xdr:colOff>
      <xdr:row>2</xdr:row>
      <xdr:rowOff>0</xdr:rowOff>
    </xdr:from>
    <xdr:to>
      <xdr:col>13</xdr:col>
      <xdr:colOff>247650</xdr:colOff>
      <xdr:row>8</xdr:row>
      <xdr:rowOff>161926</xdr:rowOff>
    </xdr:to>
    <xdr:sp macro="" textlink="">
      <xdr:nvSpPr>
        <xdr:cNvPr id="3" name="TextBox 2"/>
        <xdr:cNvSpPr txBox="1"/>
      </xdr:nvSpPr>
      <xdr:spPr>
        <a:xfrm>
          <a:off x="0" y="590550"/>
          <a:ext cx="6305550" cy="1247776"/>
        </a:xfrm>
        <a:prstGeom prst="rect">
          <a:avLst/>
        </a:prstGeom>
        <a:solidFill>
          <a:srgbClr val="FFC61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1. To</a:t>
          </a:r>
          <a:r>
            <a:rPr lang="en-US" sz="1000" baseline="0">
              <a:latin typeface="Arial" panose="020B0604020202020204" pitchFamily="34" charset="0"/>
              <a:cs typeface="Arial" panose="020B0604020202020204" pitchFamily="34" charset="0"/>
            </a:rPr>
            <a:t> use this workbook, download the Excel file to your computer, complete the survey, and then upload </a:t>
          </a:r>
        </a:p>
        <a:p>
          <a:r>
            <a:rPr lang="en-US" sz="1000" baseline="0">
              <a:latin typeface="Arial" panose="020B0604020202020204" pitchFamily="34" charset="0"/>
              <a:cs typeface="Arial" panose="020B0604020202020204" pitchFamily="34" charset="0"/>
            </a:rPr>
            <a:t>    the completed file into the Drop Box on the CSRDE secure website.</a:t>
          </a:r>
        </a:p>
        <a:p>
          <a:endParaRPr lang="en-US" sz="1000">
            <a:latin typeface="Arial" panose="020B0604020202020204" pitchFamily="34" charset="0"/>
            <a:cs typeface="Arial" panose="020B0604020202020204" pitchFamily="34" charset="0"/>
          </a:endParaRPr>
        </a:p>
        <a:p>
          <a:r>
            <a:rPr lang="en-US" sz="1000">
              <a:latin typeface="Arial" panose="020B0604020202020204" pitchFamily="34" charset="0"/>
              <a:cs typeface="Arial" panose="020B0604020202020204" pitchFamily="34" charset="0"/>
            </a:rPr>
            <a:t>2. The survey</a:t>
          </a:r>
          <a:r>
            <a:rPr lang="en-US" sz="1000" baseline="0">
              <a:latin typeface="Arial" panose="020B0604020202020204" pitchFamily="34" charset="0"/>
              <a:cs typeface="Arial" panose="020B0604020202020204" pitchFamily="34" charset="0"/>
            </a:rPr>
            <a:t> data sheets have been password protected to ensure consistency in column width, data </a:t>
          </a:r>
        </a:p>
        <a:p>
          <a:r>
            <a:rPr lang="en-US" sz="1000" baseline="0">
              <a:latin typeface="Arial" panose="020B0604020202020204" pitchFamily="34" charset="0"/>
              <a:cs typeface="Arial" panose="020B0604020202020204" pitchFamily="34" charset="0"/>
            </a:rPr>
            <a:t>    format and other file structures. To unprotect the Section I worksheet, use the password:  </a:t>
          </a:r>
          <a:r>
            <a:rPr lang="en-US" sz="1000" b="1" baseline="0">
              <a:solidFill>
                <a:srgbClr val="0066FF"/>
              </a:solidFill>
              <a:latin typeface="Arial" panose="020B0604020202020204" pitchFamily="34" charset="0"/>
              <a:cs typeface="Arial" panose="020B0604020202020204" pitchFamily="34" charset="0"/>
            </a:rPr>
            <a:t>csrde</a:t>
          </a:r>
          <a:endParaRPr lang="en-US" sz="1000" baseline="0">
            <a:latin typeface="Arial" panose="020B0604020202020204" pitchFamily="34" charset="0"/>
            <a:cs typeface="Arial" panose="020B0604020202020204" pitchFamily="34" charset="0"/>
          </a:endParaRP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3. Please DO NOT change these sheets by inserting rows or changing formats.</a:t>
          </a:r>
          <a:endParaRPr lang="en-US" sz="10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24553</xdr:rowOff>
    </xdr:from>
    <xdr:to>
      <xdr:col>12</xdr:col>
      <xdr:colOff>0</xdr:colOff>
      <xdr:row>130</xdr:row>
      <xdr:rowOff>0</xdr:rowOff>
    </xdr:to>
    <xdr:sp macro="" textlink="">
      <xdr:nvSpPr>
        <xdr:cNvPr id="2" name="Text Box 5"/>
        <xdr:cNvSpPr txBox="1">
          <a:spLocks noChangeArrowheads="1"/>
        </xdr:cNvSpPr>
      </xdr:nvSpPr>
      <xdr:spPr bwMode="auto">
        <a:xfrm>
          <a:off x="0" y="510328"/>
          <a:ext cx="6696075" cy="2098759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0" tIns="45720" rIns="274320" bIns="45720" anchor="t" upright="1"/>
        <a:lstStyle/>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marL="173990" marR="0" indent="-173990" algn="just">
            <a:spcBef>
              <a:spcPts val="600"/>
            </a:spcBef>
            <a:spcAft>
              <a:spcPts val="0"/>
            </a:spcAft>
          </a:pPr>
          <a:r>
            <a:rPr lang="en-US" sz="1000" b="1">
              <a:effectLst/>
              <a:latin typeface="Arial"/>
              <a:ea typeface="Times New Roman"/>
              <a:cs typeface="Arial"/>
            </a:rPr>
            <a:t>1.	Timing Definition: </a:t>
          </a:r>
          <a:r>
            <a:rPr lang="en-US" sz="1000">
              <a:effectLst/>
              <a:latin typeface="Arial"/>
              <a:ea typeface="Times New Roman"/>
              <a:cs typeface="Arial"/>
            </a:rPr>
            <a:t>The definition of "a year" for this survey is the 12-month period from the beginning of a fall term in one year to the beginning of the following fall term. The fall enrollment status is based on the official reporting date for the IPEDS fall enrollment report.</a:t>
          </a:r>
          <a:endParaRPr lang="en-US" sz="1050">
            <a:effectLst/>
            <a:latin typeface="Times New Roman"/>
            <a:ea typeface="Times New Roman"/>
            <a:cs typeface="Arial"/>
          </a:endParaRPr>
        </a:p>
        <a:p>
          <a:pPr marL="173990" marR="0" indent="-173990" algn="just">
            <a:spcBef>
              <a:spcPts val="600"/>
            </a:spcBef>
            <a:spcAft>
              <a:spcPts val="0"/>
            </a:spcAft>
          </a:pPr>
          <a:r>
            <a:rPr lang="en-US" sz="1000" b="1">
              <a:effectLst/>
              <a:latin typeface="Arial"/>
              <a:ea typeface="Times New Roman"/>
              <a:cs typeface="Arial"/>
            </a:rPr>
            <a:t>2.	First-time Freshman: </a:t>
          </a:r>
          <a:r>
            <a:rPr lang="en-US" sz="1000">
              <a:effectLst/>
              <a:latin typeface="Arial"/>
              <a:ea typeface="Times New Roman"/>
              <a:cs typeface="Arial"/>
            </a:rPr>
            <a:t>(See IPEDS definition) "An entering freshman who has never attended any college. Includes students enrolled in the fall term who attended for the first time in the prior summer term. Also includes students who entered with advanced standing (college credits earned before graduation from high school)."</a:t>
          </a:r>
          <a:endParaRPr lang="en-US" sz="1050">
            <a:effectLst/>
            <a:latin typeface="Times New Roman"/>
            <a:ea typeface="Times New Roman"/>
            <a:cs typeface="Arial"/>
          </a:endParaRPr>
        </a:p>
        <a:p>
          <a:pPr marL="173990" marR="0" algn="just">
            <a:spcBef>
              <a:spcPts val="600"/>
            </a:spcBef>
            <a:spcAft>
              <a:spcPts val="0"/>
            </a:spcAft>
          </a:pPr>
          <a:r>
            <a:rPr lang="en-US" sz="1000">
              <a:effectLst/>
              <a:latin typeface="Arial"/>
              <a:ea typeface="Times New Roman"/>
              <a:cs typeface="Arial"/>
            </a:rPr>
            <a:t>Report </a:t>
          </a:r>
          <a:r>
            <a:rPr lang="en-US" sz="1000" b="1">
              <a:effectLst/>
              <a:latin typeface="Arial"/>
              <a:ea typeface="Times New Roman"/>
              <a:cs typeface="Arial"/>
            </a:rPr>
            <a:t>only full-time, baccalaureate degree-seeking</a:t>
          </a:r>
          <a:r>
            <a:rPr lang="en-US" sz="1000">
              <a:effectLst/>
              <a:latin typeface="Arial"/>
              <a:ea typeface="Times New Roman"/>
              <a:cs typeface="Arial"/>
            </a:rPr>
            <a:t>, first-time freshmen in this survey. </a:t>
          </a:r>
          <a:endParaRPr lang="en-US" sz="1050">
            <a:effectLst/>
            <a:latin typeface="Times New Roman"/>
            <a:ea typeface="Times New Roman"/>
            <a:cs typeface="Arial"/>
          </a:endParaRPr>
        </a:p>
        <a:p>
          <a:pPr marL="173990" marR="0" indent="-173990" algn="just">
            <a:spcBef>
              <a:spcPts val="600"/>
            </a:spcBef>
            <a:spcAft>
              <a:spcPts val="0"/>
            </a:spcAft>
          </a:pPr>
          <a:r>
            <a:rPr lang="en-US" sz="1000" b="1">
              <a:effectLst/>
              <a:latin typeface="Arial"/>
              <a:ea typeface="Times New Roman"/>
              <a:cs typeface="Arial"/>
            </a:rPr>
            <a:t>3.	ACT or SAT: </a:t>
          </a:r>
          <a:r>
            <a:rPr lang="en-US" sz="1000">
              <a:effectLst/>
              <a:latin typeface="Arial"/>
              <a:ea typeface="Times New Roman"/>
              <a:cs typeface="Arial"/>
            </a:rPr>
            <a:t>For the ACT/SAT columns, report either ACT or SAT score, whichever is used by the majority of freshmen for admission purposes. If reporting SAT, provide composite scores without the Writing score being included.</a:t>
          </a:r>
          <a:endParaRPr lang="en-US" sz="1050">
            <a:effectLst/>
            <a:latin typeface="Times New Roman"/>
            <a:ea typeface="Times New Roman"/>
            <a:cs typeface="Arial"/>
          </a:endParaRPr>
        </a:p>
        <a:p>
          <a:pPr marL="173990" marR="0" indent="-173990" algn="just">
            <a:spcBef>
              <a:spcPts val="600"/>
            </a:spcBef>
            <a:spcAft>
              <a:spcPts val="0"/>
            </a:spcAft>
          </a:pPr>
          <a:r>
            <a:rPr lang="en-US" sz="1000" b="1">
              <a:effectLst/>
              <a:latin typeface="Arial"/>
              <a:ea typeface="Times New Roman"/>
              <a:cs typeface="Arial"/>
            </a:rPr>
            <a:t>4. 	Ethnic Groups: </a:t>
          </a:r>
          <a:r>
            <a:rPr lang="en-US" sz="1000">
              <a:effectLst/>
              <a:latin typeface="Arial"/>
              <a:ea typeface="Times New Roman"/>
              <a:cs typeface="Arial"/>
            </a:rPr>
            <a:t>The CSRDE office followed closely the changes on Race and Ethnicity definitions that were phased into the IPEDS surveys several years ago, and in particular the Fall Enrollment (which contains Retention Reporting) and the GRS. With the assistance of our Advisory Board (who are leaders in IR), consultations with the staff of National Center for Education Statistics-IPEDS, and suggestions from colleagues at the Association for Institutional Research we identified a methodology which maintains the integrity of our longitudinal data and minimizes conditions which would negatively impact your ability to conduct benchmarking.</a:t>
          </a:r>
          <a:endParaRPr lang="en-US" sz="1050">
            <a:effectLst/>
            <a:latin typeface="Times New Roman"/>
            <a:ea typeface="Times New Roman"/>
            <a:cs typeface="Arial"/>
          </a:endParaRPr>
        </a:p>
        <a:p>
          <a:pPr marL="173990" marR="0" algn="just">
            <a:spcBef>
              <a:spcPts val="600"/>
            </a:spcBef>
            <a:spcAft>
              <a:spcPts val="0"/>
            </a:spcAft>
          </a:pPr>
          <a:r>
            <a:rPr lang="en-US" sz="1000" b="1">
              <a:effectLst/>
              <a:latin typeface="Arial"/>
              <a:ea typeface="Times New Roman"/>
              <a:cs typeface="Arial"/>
            </a:rPr>
            <a:t>Guidelines: </a:t>
          </a:r>
          <a:r>
            <a:rPr lang="en-US" sz="1000">
              <a:effectLst/>
              <a:latin typeface="Arial"/>
              <a:ea typeface="Times New Roman"/>
              <a:cs typeface="Arial"/>
            </a:rPr>
            <a:t>A student's enrollment and graduation data must be wholly reflected in a single Race/Ethnicity cohort. If a student's R/E status needs to be corrected, the headcount, ACT/SAT, and the retention and graduation rates for both the incorrect and correct sub-cohorts must be recalculated.</a:t>
          </a:r>
          <a:endParaRPr lang="en-US" sz="1050">
            <a:effectLst/>
            <a:latin typeface="Times New Roman"/>
            <a:ea typeface="Times New Roman"/>
            <a:cs typeface="Arial"/>
          </a:endParaRPr>
        </a:p>
        <a:p>
          <a:pPr marL="173990" marR="0" algn="just">
            <a:spcBef>
              <a:spcPts val="600"/>
            </a:spcBef>
            <a:spcAft>
              <a:spcPts val="0"/>
            </a:spcAft>
          </a:pPr>
          <a:r>
            <a:rPr lang="en-US" sz="1000" b="1">
              <a:effectLst/>
              <a:latin typeface="Arial"/>
              <a:ea typeface="Times New Roman"/>
              <a:cs typeface="Arial"/>
            </a:rPr>
            <a:t>IMPORTANT NOTE: All cohorts that use the old IPEDS definitions must continue to use the old IPEDS definitions throughout the life of the cohort (through 10th year graduation and 11th year continuation).</a:t>
          </a:r>
          <a:endParaRPr lang="en-US" sz="1050">
            <a:effectLst/>
            <a:latin typeface="Times New Roman"/>
            <a:ea typeface="Times New Roman"/>
            <a:cs typeface="Arial"/>
          </a:endParaRPr>
        </a:p>
        <a:p>
          <a:pPr marL="173990" marR="0" algn="just">
            <a:spcBef>
              <a:spcPts val="600"/>
            </a:spcBef>
            <a:spcAft>
              <a:spcPts val="0"/>
            </a:spcAft>
          </a:pPr>
          <a:r>
            <a:rPr lang="en-US" sz="1000" b="1" u="sng">
              <a:solidFill>
                <a:srgbClr val="0000FF"/>
              </a:solidFill>
              <a:effectLst/>
              <a:latin typeface="Arial"/>
              <a:ea typeface="Times New Roman"/>
              <a:cs typeface="Arial"/>
            </a:rPr>
            <a:t>The following section discusses the definitions for race/ethnicity for three separate groups of cohorts: A. Fall 2004 through 2007; B. Fall 2008 and 2009; and C. Fall 2010 and beyond</a:t>
          </a:r>
          <a:endParaRPr lang="en-US" sz="1050">
            <a:effectLst/>
            <a:latin typeface="Times New Roman"/>
            <a:ea typeface="Times New Roman"/>
            <a:cs typeface="Arial"/>
          </a:endParaRPr>
        </a:p>
        <a:p>
          <a:pPr marL="347980" marR="0" indent="-173990" algn="just">
            <a:spcBef>
              <a:spcPts val="1200"/>
            </a:spcBef>
            <a:spcAft>
              <a:spcPts val="0"/>
            </a:spcAft>
          </a:pPr>
          <a:r>
            <a:rPr lang="en-US" sz="1000" b="1">
              <a:solidFill>
                <a:srgbClr val="0000FF"/>
              </a:solidFill>
              <a:effectLst/>
              <a:latin typeface="Arial"/>
              <a:ea typeface="Times New Roman"/>
              <a:cs typeface="Arial"/>
            </a:rPr>
            <a:t>A. 	Fall Cohort of 2004 through the Cohort of 2007. </a:t>
          </a:r>
          <a:r>
            <a:rPr lang="en-US" sz="1000">
              <a:effectLst/>
              <a:latin typeface="Arial"/>
              <a:ea typeface="Times New Roman"/>
              <a:cs typeface="Arial"/>
            </a:rPr>
            <a:t>Please use the historical Race and Ethnicity categories used by IPEDS and the CSRDE as shown below.</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Black, Non-Hispanic</a:t>
          </a:r>
          <a:r>
            <a:rPr lang="en-US" sz="1000">
              <a:effectLst/>
              <a:latin typeface="Arial"/>
              <a:ea typeface="Times New Roman"/>
              <a:cs typeface="Arial"/>
            </a:rPr>
            <a:t> - "A person having origins in any of the black racial groups of Africa (except those of Hispanic origin)."</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Hispanic</a:t>
          </a:r>
          <a:r>
            <a:rPr lang="en-US" sz="1000">
              <a:effectLst/>
              <a:latin typeface="Arial"/>
              <a:ea typeface="Times New Roman"/>
              <a:cs typeface="Arial"/>
            </a:rPr>
            <a:t> - "A person of Mexican, Puerto Rican, Cuban, Central or South American or other Spanish culture or origin, regardless of race."</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Asian or Pacific Islander</a:t>
          </a:r>
          <a:r>
            <a:rPr lang="en-US" sz="1000">
              <a:effectLst/>
              <a:latin typeface="Arial"/>
              <a:ea typeface="Times New Roman"/>
              <a:cs typeface="Arial"/>
            </a:rPr>
            <a:t> - "A person having origins in any of the original peoples of the Far East, Southeast Asia, the Indian  Subcontinent, or Pacific Islands."</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American Indian or Alaskan Native - </a:t>
          </a:r>
          <a:r>
            <a:rPr lang="en-US" sz="1000">
              <a:effectLst/>
              <a:latin typeface="Arial"/>
              <a:ea typeface="Times New Roman"/>
              <a:cs typeface="Arial"/>
            </a:rPr>
            <a:t>"A person having origins in any of the original peoples of North America or who maintains cultural identification through tribal affiliation or community recognition."</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White, Non-Hispanic - </a:t>
          </a:r>
          <a:r>
            <a:rPr lang="en-US" sz="1000">
              <a:effectLst/>
              <a:latin typeface="Arial"/>
              <a:ea typeface="Times New Roman"/>
              <a:cs typeface="Arial"/>
            </a:rPr>
            <a:t>"A person having origins in any of the original peoples of Europe, North Africa, or the Middle East."</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Nonresident Alien - </a:t>
          </a:r>
          <a:r>
            <a:rPr lang="en-US" sz="1000">
              <a:effectLst/>
              <a:latin typeface="Arial"/>
              <a:ea typeface="Times New Roman"/>
              <a:cs typeface="Arial"/>
            </a:rPr>
            <a:t>"A person who is not a citizen or national of the United States and who is in this country on a visa or temporary basis and does not have the right to remain indefinitely."</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Unknown/Other</a:t>
          </a:r>
          <a:r>
            <a:rPr lang="en-US" sz="1000">
              <a:effectLst/>
              <a:latin typeface="Arial"/>
              <a:ea typeface="Times New Roman"/>
              <a:cs typeface="Arial"/>
            </a:rPr>
            <a:t> - "Individual who did not respond or whose response does not fit into the categories above."</a:t>
          </a:r>
          <a:endParaRPr lang="en-US" sz="1050">
            <a:effectLst/>
            <a:latin typeface="Times New Roman"/>
            <a:ea typeface="Times New Roman"/>
            <a:cs typeface="Arial"/>
          </a:endParaRPr>
        </a:p>
        <a:p>
          <a:pPr marL="457200" marR="0" indent="-274320" algn="just">
            <a:spcBef>
              <a:spcPts val="600"/>
            </a:spcBef>
            <a:spcAft>
              <a:spcPts val="0"/>
            </a:spcAft>
          </a:pPr>
          <a:r>
            <a:rPr lang="en-US" sz="1000" b="1">
              <a:solidFill>
                <a:srgbClr val="0000FF"/>
              </a:solidFill>
              <a:effectLst/>
              <a:latin typeface="Arial"/>
              <a:ea typeface="Times New Roman"/>
              <a:cs typeface="Arial"/>
            </a:rPr>
            <a:t>B1.	Fall Cohorts of 2008 and 2009.</a:t>
          </a:r>
          <a:r>
            <a:rPr lang="en-US" sz="1000">
              <a:solidFill>
                <a:srgbClr val="0000FF"/>
              </a:solidFill>
              <a:effectLst/>
              <a:latin typeface="Arial"/>
              <a:ea typeface="Times New Roman"/>
              <a:cs typeface="Arial"/>
            </a:rPr>
            <a:t> </a:t>
          </a:r>
          <a:r>
            <a:rPr lang="en-US" sz="1000">
              <a:effectLst/>
              <a:latin typeface="Arial"/>
              <a:ea typeface="Times New Roman"/>
              <a:cs typeface="Arial"/>
            </a:rPr>
            <a:t>The CSRDE recommends the use of the definitions above for the Fall 2008 and Fall 2009 cohorts.</a:t>
          </a:r>
          <a:endParaRPr lang="en-US" sz="1050">
            <a:effectLst/>
            <a:latin typeface="Times New Roman"/>
            <a:ea typeface="Times New Roman"/>
            <a:cs typeface="Arial"/>
          </a:endParaRPr>
        </a:p>
        <a:p>
          <a:pPr marL="457200" marR="0" indent="-274320" algn="just">
            <a:spcBef>
              <a:spcPts val="600"/>
            </a:spcBef>
            <a:spcAft>
              <a:spcPts val="0"/>
            </a:spcAft>
          </a:pPr>
          <a:r>
            <a:rPr lang="en-US" sz="1000" b="1">
              <a:solidFill>
                <a:srgbClr val="0000FF"/>
              </a:solidFill>
              <a:effectLst/>
              <a:latin typeface="Arial"/>
              <a:ea typeface="Times New Roman"/>
              <a:cs typeface="Arial"/>
            </a:rPr>
            <a:t>B2.	Transitional Reporting on Fall 2008 and Fall 2009 Cohorts where new IPEDS R/E has been implemented</a:t>
          </a:r>
          <a:r>
            <a:rPr lang="en-US" sz="1000">
              <a:solidFill>
                <a:srgbClr val="0000FF"/>
              </a:solidFill>
              <a:effectLst/>
              <a:latin typeface="Arial"/>
              <a:ea typeface="Times New Roman"/>
              <a:cs typeface="Arial"/>
            </a:rPr>
            <a:t>. </a:t>
          </a:r>
          <a:r>
            <a:rPr lang="en-US" sz="1000">
              <a:effectLst/>
              <a:latin typeface="Arial"/>
              <a:ea typeface="Times New Roman"/>
              <a:cs typeface="Arial"/>
            </a:rPr>
            <a:t>IPEDS instructions for reporting race/ethnicity on the Fall 2008 and 2009 Cohorts gave institutions the option of reporting using the "New Definitions". For the purposes of consistency, we strongly encourage you to report the ethnicity of the Fall 2008 and Fall 2009 Cohorts using the historical definitions listed above.</a:t>
          </a:r>
          <a:endParaRPr lang="en-US" sz="1050">
            <a:effectLst/>
            <a:latin typeface="Times New Roman"/>
            <a:ea typeface="Times New Roman"/>
            <a:cs typeface="Arial"/>
          </a:endParaRPr>
        </a:p>
        <a:p>
          <a:pPr marL="457200" marR="0" algn="just">
            <a:spcBef>
              <a:spcPts val="600"/>
            </a:spcBef>
            <a:spcAft>
              <a:spcPts val="0"/>
            </a:spcAft>
          </a:pPr>
          <a:r>
            <a:rPr lang="en-US" sz="1000" b="1">
              <a:effectLst/>
              <a:latin typeface="Arial"/>
              <a:ea typeface="Times New Roman"/>
              <a:cs typeface="Arial"/>
            </a:rPr>
            <a:t>However</a:t>
          </a:r>
          <a:r>
            <a:rPr lang="en-US" sz="1000">
              <a:effectLst/>
              <a:latin typeface="Arial"/>
              <a:ea typeface="Times New Roman"/>
              <a:cs typeface="Arial"/>
            </a:rPr>
            <a:t>, if your institution implemented the new definitions with the Fall 2008 or Fall 2009 cohort, and you intend to use those definitions for the Fall 2008 and/or 2009 CSRDE First-time, Full-time Cohort, please make a documentation note in the comments on the checklist tab. Be sure to include data for the Hawaiian and Multi-racial groups (see definitions below). If you have no students in those categories report zero (0) for the headcount. In the row for the Fall 2008 and/or Fall 2009 Asian subcohort, you would report only those students falling into the new Asian grouping (which excludes Hawaiians). The sum of the headcounts for all of your ethnic groups, including Unknown, for the Fall Cohort of 2008 and Fall Cohort of 2009 should equal the Total Cohort headcount for 2008 and 2009.</a:t>
          </a:r>
          <a:endParaRPr lang="en-US" sz="1050">
            <a:effectLst/>
            <a:latin typeface="Times New Roman"/>
            <a:ea typeface="Times New Roman"/>
            <a:cs typeface="Arial"/>
          </a:endParaRPr>
        </a:p>
        <a:p>
          <a:pPr marL="347980" marR="0" indent="-173990" algn="just">
            <a:spcBef>
              <a:spcPts val="600"/>
            </a:spcBef>
            <a:spcAft>
              <a:spcPts val="0"/>
            </a:spcAft>
          </a:pPr>
          <a:r>
            <a:rPr lang="en-US" sz="1000" b="1">
              <a:effectLst/>
              <a:latin typeface="Arial"/>
              <a:ea typeface="Times New Roman"/>
            </a:rPr>
            <a:t/>
          </a:r>
          <a:br>
            <a:rPr lang="en-US" sz="1000" b="1">
              <a:effectLst/>
              <a:latin typeface="Arial"/>
              <a:ea typeface="Times New Roman"/>
            </a:rPr>
          </a:br>
          <a:r>
            <a:rPr lang="en-US" sz="1000" b="1">
              <a:solidFill>
                <a:srgbClr val="0000FF"/>
              </a:solidFill>
              <a:effectLst/>
              <a:latin typeface="Arial"/>
              <a:ea typeface="Times New Roman"/>
              <a:cs typeface="Arial"/>
            </a:rPr>
            <a:t>C. The new R/E definitions are required for the 2010 through 2013 cohorts in the 2014-2015 survey. </a:t>
          </a:r>
          <a:r>
            <a:rPr lang="en-US" sz="1000">
              <a:effectLst/>
              <a:latin typeface="Arial"/>
              <a:ea typeface="Times New Roman"/>
              <a:cs typeface="Arial"/>
            </a:rPr>
            <a:t>The definitions below should be used for the 2010 through 2013 cohorts, as well as the 2008 and 2009 cohorts </a:t>
          </a:r>
          <a:r>
            <a:rPr lang="en-US" sz="1000" b="1" i="1">
              <a:effectLst/>
              <a:latin typeface="Arial"/>
              <a:ea typeface="Times New Roman"/>
              <a:cs typeface="Arial"/>
            </a:rPr>
            <a:t>if</a:t>
          </a:r>
          <a:r>
            <a:rPr lang="en-US" sz="1000">
              <a:effectLst/>
              <a:latin typeface="Arial"/>
              <a:ea typeface="Times New Roman"/>
              <a:cs typeface="Arial"/>
            </a:rPr>
            <a:t> your institution implemented the new R/E definitions for the 2008 and 2009 cohorts. See B1 and B2 above.</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Black or African American</a:t>
          </a:r>
          <a:r>
            <a:rPr lang="en-US" sz="1000">
              <a:effectLst/>
              <a:latin typeface="Arial"/>
              <a:ea typeface="Times New Roman"/>
              <a:cs typeface="Arial"/>
            </a:rPr>
            <a:t> - "A person having origins in any of the black racial groups of Africa.”</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Hispanic or Latino</a:t>
          </a:r>
          <a:r>
            <a:rPr lang="en-US" sz="1000">
              <a:effectLst/>
              <a:latin typeface="Arial"/>
              <a:ea typeface="Times New Roman"/>
              <a:cs typeface="Arial"/>
            </a:rPr>
            <a:t> - "A person of Cuban, Mexican, Puerto Rican, South or Central American, or other Spanish culture or origin, regardless of race."</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Asian</a:t>
          </a:r>
          <a:r>
            <a:rPr lang="en-US" sz="1000">
              <a:effectLst/>
              <a:latin typeface="Arial"/>
              <a:ea typeface="Times New Roman"/>
              <a:cs typeface="Arial"/>
            </a:rPr>
            <a:t> - " A person having origins in any of the original peoples of the Far East, Southeast Asia, or the Indian Subcontinent, including, for example, Cambodia, China, India, Japan, Korea, Malaysia, Pakistan, the Philippine Islands, Thailand, and Vietnam."</a:t>
          </a:r>
          <a:endParaRPr lang="en-US" sz="1050">
            <a:effectLst/>
            <a:latin typeface="Times New Roman"/>
            <a:ea typeface="Times New Roman"/>
            <a:cs typeface="Arial"/>
          </a:endParaRPr>
        </a:p>
        <a:p>
          <a:pPr marL="365760" marR="0" algn="just">
            <a:spcBef>
              <a:spcPts val="600"/>
            </a:spcBef>
            <a:spcAft>
              <a:spcPts val="0"/>
            </a:spcAft>
          </a:pPr>
          <a:r>
            <a:rPr lang="en-US" sz="1000">
              <a:effectLst/>
              <a:latin typeface="Arial"/>
              <a:ea typeface="Times New Roman"/>
              <a:cs typeface="Arial"/>
            </a:rPr>
            <a:t> </a:t>
          </a:r>
          <a:r>
            <a:rPr lang="en-US" sz="1000" b="1">
              <a:effectLst/>
              <a:latin typeface="Arial"/>
              <a:ea typeface="Times New Roman"/>
              <a:cs typeface="Arial"/>
            </a:rPr>
            <a:t>American Indian or Alaska Native</a:t>
          </a:r>
          <a:r>
            <a:rPr lang="en-US" sz="1000">
              <a:effectLst/>
              <a:latin typeface="Arial"/>
              <a:ea typeface="Times New Roman"/>
              <a:cs typeface="Arial"/>
            </a:rPr>
            <a:t> - " A person having origins in any of the original peoples of North and South America (including Central America) who maintains cultural identification through tribal affiliation or community attachment."</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White</a:t>
          </a:r>
          <a:r>
            <a:rPr lang="en-US" sz="1000">
              <a:effectLst/>
              <a:latin typeface="Arial"/>
              <a:ea typeface="Times New Roman"/>
              <a:cs typeface="Arial"/>
            </a:rPr>
            <a:t> - "A person having origins in any of the original peoples of Europe, the Middle East, or North Africa."</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Nonresident Alien</a:t>
          </a:r>
          <a:r>
            <a:rPr lang="en-US" sz="1000">
              <a:effectLst/>
              <a:latin typeface="Arial"/>
              <a:ea typeface="Times New Roman"/>
              <a:cs typeface="Arial"/>
            </a:rPr>
            <a:t> - "A person who is not a citizen or national of the United States and who is in this country on a visa or temporary basis and does not have the right to remain indefinitely."</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Native Hawaiian or Other Pacific Islander</a:t>
          </a:r>
          <a:r>
            <a:rPr lang="en-US" sz="1000">
              <a:effectLst/>
              <a:latin typeface="Arial"/>
              <a:ea typeface="Times New Roman"/>
              <a:cs typeface="Arial"/>
            </a:rPr>
            <a:t> - “A person having origins in any of the original peoples of Hawaii, Guam, Samoa, or other Pacific Islands.”</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Unknown/Other Ethnicity</a:t>
          </a:r>
          <a:r>
            <a:rPr lang="en-US" sz="1000">
              <a:effectLst/>
              <a:latin typeface="Arial"/>
              <a:ea typeface="Times New Roman"/>
              <a:cs typeface="Arial"/>
            </a:rPr>
            <a:t> - “A person who did not select EITHER a racial or ethnicity designation.”</a:t>
          </a:r>
          <a:endParaRPr lang="en-US" sz="1050">
            <a:effectLst/>
            <a:latin typeface="Times New Roman"/>
            <a:ea typeface="Times New Roman"/>
            <a:cs typeface="Arial"/>
          </a:endParaRPr>
        </a:p>
        <a:p>
          <a:pPr marL="365760" marR="0" algn="just">
            <a:spcBef>
              <a:spcPts val="600"/>
            </a:spcBef>
            <a:spcAft>
              <a:spcPts val="0"/>
            </a:spcAft>
          </a:pPr>
          <a:r>
            <a:rPr lang="en-US" sz="1000" b="1">
              <a:effectLst/>
              <a:latin typeface="Arial"/>
              <a:ea typeface="Times New Roman"/>
              <a:cs typeface="Arial"/>
            </a:rPr>
            <a:t>Multi-racial</a:t>
          </a:r>
          <a:r>
            <a:rPr lang="en-US" sz="1000">
              <a:effectLst/>
              <a:latin typeface="Arial"/>
              <a:ea typeface="Times New Roman"/>
              <a:cs typeface="Arial"/>
            </a:rPr>
            <a:t> - Those individuals that self identify in two or more racial categories. As defined by IPEDS, if an individual chooses Hispanic as their ethnic group, they will not be included in the multi-racial category.</a:t>
          </a:r>
          <a:endParaRPr lang="en-US" sz="1050">
            <a:effectLst/>
            <a:latin typeface="Times New Roman"/>
            <a:ea typeface="Times New Roman"/>
            <a:cs typeface="Arial"/>
          </a:endParaRPr>
        </a:p>
        <a:p>
          <a:pPr marL="173990" marR="0" indent="-173990" algn="just">
            <a:spcBef>
              <a:spcPts val="1200"/>
            </a:spcBef>
            <a:spcAft>
              <a:spcPts val="0"/>
            </a:spcAft>
          </a:pPr>
          <a:r>
            <a:rPr lang="en-US" sz="1000" b="1">
              <a:effectLst/>
              <a:latin typeface="Arial"/>
              <a:ea typeface="Times New Roman"/>
              <a:cs typeface="Arial"/>
            </a:rPr>
            <a:t>5. 	Continuation Rates: </a:t>
          </a:r>
          <a:r>
            <a:rPr lang="en-US" sz="1000">
              <a:effectLst/>
              <a:latin typeface="Arial"/>
              <a:ea typeface="Times New Roman"/>
              <a:cs typeface="Arial"/>
            </a:rPr>
            <a:t>Continuation rate is the percentage of first-time, full-time freshmen in a given fall term who returned to the institution in a subsequent fall term.  For example, the "continued to 3rd year" rate for fall 2007 first-time freshmen is the percentage of fall 2007 first-time freshmen who returned for fall 2009. </a:t>
          </a:r>
          <a:r>
            <a:rPr lang="en-US" sz="1000" u="sng">
              <a:effectLst/>
              <a:latin typeface="Arial"/>
              <a:ea typeface="Times New Roman"/>
              <a:cs typeface="Arial"/>
            </a:rPr>
            <a:t>The calculation of continuation rate does not include students who returned to the institution after having graduated from the same institution</a:t>
          </a:r>
          <a:r>
            <a:rPr lang="en-US" sz="1000" u="none">
              <a:effectLst/>
              <a:latin typeface="Arial"/>
              <a:ea typeface="Times New Roman"/>
              <a:cs typeface="Arial"/>
            </a:rPr>
            <a:t>.</a:t>
          </a:r>
          <a:r>
            <a:rPr lang="en-US" sz="1000" u="none" baseline="0">
              <a:effectLst/>
              <a:latin typeface="Arial"/>
              <a:ea typeface="Times New Roman"/>
              <a:cs typeface="Arial"/>
            </a:rPr>
            <a:t> </a:t>
          </a:r>
          <a:r>
            <a:rPr lang="en-US" sz="1000">
              <a:effectLst/>
              <a:latin typeface="Arial"/>
              <a:ea typeface="Times New Roman"/>
              <a:cs typeface="Arial"/>
            </a:rPr>
            <a:t>For specific time points for reporting, see 2014-15 Survey Documentation Form.</a:t>
          </a:r>
          <a:endParaRPr lang="en-US" sz="1050">
            <a:effectLst/>
            <a:latin typeface="Times New Roman"/>
            <a:ea typeface="Times New Roman"/>
            <a:cs typeface="Arial"/>
          </a:endParaRPr>
        </a:p>
        <a:p>
          <a:pPr marL="173990" marR="0" algn="just">
            <a:spcBef>
              <a:spcPts val="600"/>
            </a:spcBef>
            <a:spcAft>
              <a:spcPts val="0"/>
            </a:spcAft>
          </a:pPr>
          <a:r>
            <a:rPr lang="en-US" sz="1000" b="1" u="sng">
              <a:effectLst/>
              <a:latin typeface="Arial"/>
              <a:ea typeface="Times New Roman"/>
              <a:cs typeface="Arial"/>
            </a:rPr>
            <a:t>Reminder:</a:t>
          </a:r>
          <a:r>
            <a:rPr lang="en-US" sz="1000">
              <a:effectLst/>
              <a:latin typeface="Arial"/>
              <a:ea typeface="Times New Roman"/>
              <a:cs typeface="Arial"/>
            </a:rPr>
            <a:t> As is the convention with IPEDS, data used for these calculations may be adjusted for students who departed for the following reasons: deceased, permanently disabled, or joined the armed forces (including those called to active duty from the Reserves or National Guard) or foreign aid service of the federal government or official church missions. These are allowable exclusions, and may be subtracted from the cohort prior to calculating the continuation rate.</a:t>
          </a:r>
          <a:endParaRPr lang="en-US" sz="1050">
            <a:effectLst/>
            <a:latin typeface="Times New Roman"/>
            <a:ea typeface="Times New Roman"/>
            <a:cs typeface="Arial"/>
          </a:endParaRPr>
        </a:p>
        <a:p>
          <a:pPr marL="173990" marR="0" algn="just">
            <a:spcBef>
              <a:spcPts val="600"/>
            </a:spcBef>
            <a:spcAft>
              <a:spcPts val="0"/>
            </a:spcAft>
          </a:pPr>
          <a:r>
            <a:rPr lang="en-US" sz="1000">
              <a:effectLst/>
              <a:latin typeface="Arial"/>
              <a:ea typeface="Times New Roman"/>
              <a:cs typeface="Arial"/>
            </a:rPr>
            <a:t> </a:t>
          </a:r>
          <a:r>
            <a:rPr lang="en-US" sz="1000" b="1" u="sng">
              <a:effectLst/>
              <a:latin typeface="Arial"/>
              <a:ea typeface="Times New Roman"/>
              <a:cs typeface="Arial"/>
            </a:rPr>
            <a:t>Example:</a:t>
          </a:r>
          <a:r>
            <a:rPr lang="en-US" sz="1000">
              <a:effectLst/>
              <a:latin typeface="Arial"/>
              <a:ea typeface="Times New Roman"/>
              <a:cs typeface="Arial"/>
            </a:rPr>
            <a:t> Number in cohort who continued to 3rd year / (cohort headcount - the allowable exclusions).</a:t>
          </a:r>
          <a:endParaRPr lang="en-US" sz="1050">
            <a:effectLst/>
            <a:latin typeface="Times New Roman"/>
            <a:ea typeface="Times New Roman"/>
            <a:cs typeface="Arial"/>
          </a:endParaRPr>
        </a:p>
        <a:p>
          <a:pPr marL="173990" marR="0" indent="-173990" algn="just">
            <a:spcBef>
              <a:spcPts val="1200"/>
            </a:spcBef>
            <a:spcAft>
              <a:spcPts val="0"/>
            </a:spcAft>
          </a:pPr>
          <a:r>
            <a:rPr lang="en-US" sz="1000" b="1">
              <a:effectLst/>
              <a:latin typeface="Arial"/>
              <a:ea typeface="Times New Roman"/>
              <a:cs typeface="Arial"/>
            </a:rPr>
            <a:t>6. 	Cumulative Graduation Rates: </a:t>
          </a:r>
          <a:r>
            <a:rPr lang="en-US" sz="1000">
              <a:effectLst/>
              <a:latin typeface="Arial"/>
              <a:ea typeface="Times New Roman"/>
              <a:cs typeface="Arial"/>
            </a:rPr>
            <a:t>Graduation rate is the </a:t>
          </a:r>
          <a:r>
            <a:rPr lang="en-US" sz="1000" b="1" u="sng">
              <a:effectLst/>
              <a:latin typeface="Arial"/>
              <a:ea typeface="Times New Roman"/>
              <a:cs typeface="Arial"/>
            </a:rPr>
            <a:t>cumulative</a:t>
          </a:r>
          <a:r>
            <a:rPr lang="en-US" sz="1000" b="1" u="none">
              <a:effectLst/>
              <a:latin typeface="Arial"/>
              <a:ea typeface="Times New Roman"/>
              <a:cs typeface="Arial"/>
            </a:rPr>
            <a:t> </a:t>
          </a:r>
          <a:r>
            <a:rPr lang="en-US" sz="1000">
              <a:effectLst/>
              <a:latin typeface="Arial"/>
              <a:ea typeface="Times New Roman"/>
              <a:cs typeface="Arial"/>
            </a:rPr>
            <a:t>percentage of first-time, full-time freshmen in a given fall term who graduated within a designated period of time. For example, the "graduated in five years" rate for fall 2007 first-time freshmen is the percentage of fall 2007 first-time freshmen who graduated from the institution by the fall 2012 term, including those students who completed their courses during the summer of 2012. For specific time points for reporting, see 2014-15 Survey Documentation Form.</a:t>
          </a:r>
          <a:endParaRPr lang="en-US" sz="1050">
            <a:effectLst/>
            <a:latin typeface="Times New Roman"/>
            <a:ea typeface="Times New Roman"/>
            <a:cs typeface="Arial"/>
          </a:endParaRPr>
        </a:p>
        <a:p>
          <a:pPr marL="173990" marR="0" algn="just">
            <a:spcBef>
              <a:spcPts val="600"/>
            </a:spcBef>
            <a:spcAft>
              <a:spcPts val="0"/>
            </a:spcAft>
          </a:pPr>
          <a:r>
            <a:rPr lang="en-US" sz="1000" b="1" u="sng">
              <a:effectLst/>
              <a:latin typeface="Arial"/>
              <a:ea typeface="Times New Roman"/>
              <a:cs typeface="Arial"/>
            </a:rPr>
            <a:t>Reminder:</a:t>
          </a:r>
          <a:r>
            <a:rPr lang="en-US" sz="1000">
              <a:effectLst/>
              <a:latin typeface="Arial"/>
              <a:ea typeface="Times New Roman"/>
              <a:cs typeface="Arial"/>
            </a:rPr>
            <a:t> As is the convention with IPEDS, data used for these calculations may be adjusted for students who departed for the following reasons: deceased, permanently disabled, or joined the armed forces (including those called to active duty from the Reserves or National Guard) or foreign aid service of the federal government or official church missions. These are allowable exclusions, and may be subtracted from the cohort prior to calculating the graduation rate.</a:t>
          </a:r>
          <a:endParaRPr lang="en-US" sz="1050">
            <a:effectLst/>
            <a:latin typeface="Times New Roman"/>
            <a:ea typeface="Times New Roman"/>
            <a:cs typeface="Arial"/>
          </a:endParaRPr>
        </a:p>
        <a:p>
          <a:pPr marL="173990" marR="0" algn="just">
            <a:spcBef>
              <a:spcPts val="600"/>
            </a:spcBef>
            <a:spcAft>
              <a:spcPts val="0"/>
            </a:spcAft>
          </a:pPr>
          <a:r>
            <a:rPr lang="en-US" sz="1000" b="1" u="sng">
              <a:effectLst/>
              <a:latin typeface="Arial"/>
              <a:ea typeface="Times New Roman"/>
              <a:cs typeface="Arial"/>
            </a:rPr>
            <a:t>Example:</a:t>
          </a:r>
          <a:r>
            <a:rPr lang="en-US" sz="1000">
              <a:effectLst/>
              <a:latin typeface="Arial"/>
              <a:ea typeface="Times New Roman"/>
              <a:cs typeface="Arial"/>
            </a:rPr>
            <a:t> Number in cohort who graduated within 4 years / (cohort headcount – the allowable exclusions). Students who leave for these reasons, but return before the IPEDS status date of August 31 in the year in which the graduation is being calculated, may be subtracted from the cohort when calculating the graduation rate.</a:t>
          </a:r>
          <a:endParaRPr lang="en-US" sz="1050">
            <a:effectLst/>
            <a:latin typeface="Times New Roman"/>
            <a:ea typeface="Times New Roman"/>
            <a:cs typeface="Arial"/>
          </a:endParaRPr>
        </a:p>
        <a:p>
          <a:pPr marL="173990" marR="0" algn="just">
            <a:spcBef>
              <a:spcPts val="600"/>
            </a:spcBef>
            <a:spcAft>
              <a:spcPts val="0"/>
            </a:spcAft>
          </a:pPr>
          <a:r>
            <a:rPr lang="en-US" sz="1000" b="1" u="sng">
              <a:effectLst/>
              <a:latin typeface="Arial"/>
              <a:ea typeface="Times New Roman"/>
              <a:cs typeface="Arial"/>
            </a:rPr>
            <a:t>Please note:</a:t>
          </a:r>
          <a:r>
            <a:rPr lang="en-US" sz="1000">
              <a:effectLst/>
              <a:latin typeface="Arial"/>
              <a:ea typeface="Times New Roman"/>
              <a:cs typeface="Arial"/>
            </a:rPr>
            <a:t> If students receive an associate’s degree or another degree less than a bachelor’s degree, they will not be included in the graduation rates.</a:t>
          </a:r>
          <a:endParaRPr lang="en-US" sz="1050">
            <a:effectLst/>
            <a:latin typeface="Times New Roman"/>
            <a:ea typeface="Times New Roman"/>
            <a:cs typeface="Arial"/>
          </a:endParaRPr>
        </a:p>
        <a:p>
          <a:pPr marL="173990" marR="0" algn="just">
            <a:spcBef>
              <a:spcPts val="1200"/>
            </a:spcBef>
            <a:spcAft>
              <a:spcPts val="0"/>
            </a:spcAft>
          </a:pPr>
          <a:r>
            <a:rPr lang="en-US" sz="1000" b="1">
              <a:effectLst/>
              <a:latin typeface="Arial"/>
              <a:ea typeface="Times New Roman"/>
              <a:cs typeface="Arial"/>
            </a:rPr>
            <a:t>The headcount in Section I column D must stay the same even if a retention or graduation rate is calculated based on exclusions.</a:t>
          </a:r>
          <a:endParaRPr lang="en-US" sz="1050">
            <a:effectLst/>
            <a:latin typeface="Times New Roman"/>
            <a:ea typeface="Times New Roman"/>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76200</xdr:colOff>
      <xdr:row>8</xdr:row>
      <xdr:rowOff>87630</xdr:rowOff>
    </xdr:from>
    <xdr:to>
      <xdr:col>8</xdr:col>
      <xdr:colOff>396204</xdr:colOff>
      <xdr:row>11</xdr:row>
      <xdr:rowOff>57150</xdr:rowOff>
    </xdr:to>
    <xdr:sp macro="" textlink="">
      <xdr:nvSpPr>
        <xdr:cNvPr id="2" name="Text Box 1"/>
        <xdr:cNvSpPr txBox="1">
          <a:spLocks noChangeArrowheads="1"/>
        </xdr:cNvSpPr>
      </xdr:nvSpPr>
      <xdr:spPr bwMode="auto">
        <a:xfrm>
          <a:off x="1971675" y="2678430"/>
          <a:ext cx="758154" cy="131254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These</a:t>
          </a:r>
        </a:p>
        <a:p>
          <a:pPr algn="ctr" rtl="0">
            <a:defRPr sz="1000"/>
          </a:pPr>
          <a:r>
            <a:rPr lang="en-US" sz="800" b="0" i="0" u="none" strike="noStrike" baseline="0">
              <a:solidFill>
                <a:srgbClr val="000000"/>
              </a:solidFill>
              <a:latin typeface="Arial"/>
              <a:cs typeface="Arial"/>
            </a:rPr>
            <a:t> columns </a:t>
          </a:r>
        </a:p>
        <a:p>
          <a:pPr algn="ctr" rtl="0">
            <a:defRPr sz="1000"/>
          </a:pPr>
          <a:r>
            <a:rPr lang="en-US" sz="800" b="0" i="0" u="none" strike="noStrike" baseline="0">
              <a:solidFill>
                <a:srgbClr val="000000"/>
              </a:solidFill>
              <a:latin typeface="Arial"/>
              <a:cs typeface="Arial"/>
            </a:rPr>
            <a:t>are not </a:t>
          </a:r>
        </a:p>
        <a:p>
          <a:pPr algn="ctr" rtl="0">
            <a:defRPr sz="1000"/>
          </a:pPr>
          <a:r>
            <a:rPr lang="en-US" sz="800" b="0" i="0" u="none" strike="noStrike" baseline="0">
              <a:solidFill>
                <a:srgbClr val="000000"/>
              </a:solidFill>
              <a:latin typeface="Arial"/>
              <a:cs typeface="Arial"/>
            </a:rPr>
            <a:t>included </a:t>
          </a:r>
        </a:p>
        <a:p>
          <a:pPr algn="ctr" rtl="0">
            <a:defRPr sz="1000"/>
          </a:pPr>
          <a:r>
            <a:rPr lang="en-US" sz="800" b="0" i="0" u="none" strike="noStrike" baseline="0">
              <a:solidFill>
                <a:srgbClr val="000000"/>
              </a:solidFill>
              <a:latin typeface="Arial"/>
              <a:cs typeface="Arial"/>
            </a:rPr>
            <a:t>in the </a:t>
          </a:r>
        </a:p>
        <a:p>
          <a:pPr algn="ctr" rtl="0">
            <a:defRPr sz="1000"/>
          </a:pPr>
          <a:r>
            <a:rPr lang="en-US" sz="800" b="0" i="0" u="none" strike="noStrike" baseline="0">
              <a:solidFill>
                <a:srgbClr val="000000"/>
              </a:solidFill>
              <a:latin typeface="Arial"/>
              <a:cs typeface="Arial"/>
            </a:rPr>
            <a:t>survey</a:t>
          </a:r>
        </a:p>
        <a:p>
          <a:pPr algn="ctr" rtl="0">
            <a:defRPr sz="1000"/>
          </a:pPr>
          <a:r>
            <a:rPr lang="en-US" sz="800" b="0" i="0" u="none" strike="noStrike" baseline="0">
              <a:solidFill>
                <a:srgbClr val="000000"/>
              </a:solidFill>
              <a:latin typeface="Arial"/>
              <a:cs typeface="Arial"/>
            </a:rPr>
            <a:t>forms.</a:t>
          </a:r>
          <a:endParaRPr lang="en-US"/>
        </a:p>
      </xdr:txBody>
    </xdr:sp>
    <xdr:clientData/>
  </xdr:twoCellAnchor>
  <xdr:twoCellAnchor>
    <xdr:from>
      <xdr:col>20</xdr:col>
      <xdr:colOff>0</xdr:colOff>
      <xdr:row>12</xdr:row>
      <xdr:rowOff>0</xdr:rowOff>
    </xdr:from>
    <xdr:to>
      <xdr:col>26</xdr:col>
      <xdr:colOff>167216</xdr:colOff>
      <xdr:row>14</xdr:row>
      <xdr:rowOff>170392</xdr:rowOff>
    </xdr:to>
    <xdr:sp macro="" textlink="">
      <xdr:nvSpPr>
        <xdr:cNvPr id="5" name="Text Box 2"/>
        <xdr:cNvSpPr txBox="1">
          <a:spLocks noChangeArrowheads="1"/>
        </xdr:cNvSpPr>
      </xdr:nvSpPr>
      <xdr:spPr bwMode="auto">
        <a:xfrm>
          <a:off x="5953125" y="4381500"/>
          <a:ext cx="1976966" cy="10562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36576" bIns="27432" anchor="ctr" upright="1"/>
        <a:lstStyle/>
        <a:p>
          <a:pPr algn="ctr" rtl="0">
            <a:defRPr sz="1000"/>
          </a:pPr>
          <a:r>
            <a:rPr lang="en-US" sz="1100" b="1" i="0" u="none" strike="noStrike" baseline="0">
              <a:solidFill>
                <a:srgbClr val="000000"/>
              </a:solidFill>
              <a:latin typeface="Arial"/>
              <a:cs typeface="Arial"/>
            </a:rPr>
            <a:t>This form is for reference only.  You will not enter data here.  The data is reported on the Section I tab.</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test%20schools\TEMP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Section I"/>
      <sheetName val="Section I_Alternative"/>
      <sheetName val="Characteristics"/>
      <sheetName val="Section I Checklist"/>
      <sheetName val="Definitions"/>
      <sheetName val="Documentation"/>
    </sheetNames>
    <sheetDataSet>
      <sheetData sheetId="0"/>
      <sheetData sheetId="1"/>
      <sheetData sheetId="2">
        <row r="20">
          <cell r="C20">
            <v>2005</v>
          </cell>
        </row>
        <row r="21">
          <cell r="C21">
            <v>2006</v>
          </cell>
        </row>
        <row r="22">
          <cell r="C22">
            <v>2007</v>
          </cell>
        </row>
        <row r="23">
          <cell r="C23">
            <v>2008</v>
          </cell>
        </row>
        <row r="24">
          <cell r="C24">
            <v>2009</v>
          </cell>
        </row>
        <row r="25">
          <cell r="C25">
            <v>2010</v>
          </cell>
        </row>
        <row r="26">
          <cell r="C26">
            <v>2011</v>
          </cell>
        </row>
        <row r="27">
          <cell r="C27">
            <v>2012</v>
          </cell>
        </row>
        <row r="28">
          <cell r="C28">
            <v>2003</v>
          </cell>
        </row>
        <row r="29">
          <cell r="C29">
            <v>2004</v>
          </cell>
        </row>
        <row r="30">
          <cell r="C30">
            <v>2005</v>
          </cell>
        </row>
        <row r="31">
          <cell r="C31">
            <v>2006</v>
          </cell>
        </row>
        <row r="32">
          <cell r="C32">
            <v>2007</v>
          </cell>
        </row>
        <row r="33">
          <cell r="C33">
            <v>2008</v>
          </cell>
        </row>
        <row r="34">
          <cell r="C34">
            <v>2009</v>
          </cell>
        </row>
        <row r="35">
          <cell r="C35">
            <v>2010</v>
          </cell>
        </row>
        <row r="36">
          <cell r="C36">
            <v>2011</v>
          </cell>
        </row>
        <row r="37">
          <cell r="C37">
            <v>2012</v>
          </cell>
        </row>
        <row r="38">
          <cell r="C38">
            <v>2003</v>
          </cell>
        </row>
        <row r="39">
          <cell r="C39">
            <v>2004</v>
          </cell>
        </row>
        <row r="40">
          <cell r="C40">
            <v>2005</v>
          </cell>
        </row>
      </sheetData>
      <sheetData sheetId="3"/>
      <sheetData sheetId="4"/>
      <sheetData sheetId="5"/>
      <sheetData sheetId="6"/>
      <sheetData sheetId="7"/>
    </sheetDataSet>
  </externalBook>
</externalLink>
</file>

<file path=xl/tables/table1.xml><?xml version="1.0" encoding="utf-8"?>
<table xmlns="http://schemas.openxmlformats.org/spreadsheetml/2006/main" id="1" name="HeadcountAndScoresTable" displayName="HeadcountAndScoresTable" ref="B10:H122" totalsRowShown="0" headerRowDxfId="28" dataDxfId="27" tableBorderDxfId="26">
  <autoFilter ref="B10:H122"/>
  <sortState ref="B11:H122">
    <sortCondition descending="1" ref="C10:C122"/>
  </sortState>
  <tableColumns count="7">
    <tableColumn id="1" name="Lookup Key" dataDxfId="25"/>
    <tableColumn id="2" name="Record Type" dataDxfId="24"/>
    <tableColumn id="3" name="Cohort Type" dataDxfId="23"/>
    <tableColumn id="4" name="Cohort Year" dataDxfId="22"/>
    <tableColumn id="5" name="Headcount" dataDxfId="21"/>
    <tableColumn id="6" name="ACT" dataDxfId="20"/>
    <tableColumn id="7" name="SAT" dataDxfId="19"/>
  </tableColumns>
  <tableStyleInfo name="TableStyleMedium17 2 2" showFirstColumn="0" showLastColumn="0" showRowStripes="1" showColumnStripes="0"/>
</table>
</file>

<file path=xl/tables/table2.xml><?xml version="1.0" encoding="utf-8"?>
<table xmlns="http://schemas.openxmlformats.org/spreadsheetml/2006/main" id="2" name="RatesTable" displayName="RatesTable" ref="B125:H717" totalsRowShown="0" headerRowDxfId="18" dataDxfId="17" tableBorderDxfId="16">
  <autoFilter ref="B125:H717"/>
  <sortState ref="B126:H717">
    <sortCondition descending="1" ref="C125:C717"/>
  </sortState>
  <tableColumns count="7">
    <tableColumn id="1" name="Lookup Key" dataDxfId="15"/>
    <tableColumn id="2" name="Record Type" dataDxfId="14"/>
    <tableColumn id="3" name="Cohort Type" dataDxfId="13"/>
    <tableColumn id="4" name="Cohort Year" dataDxfId="12"/>
    <tableColumn id="6" name="Continued To Fall_x000a_-----------------_x000a_Graduated By Fall" dataDxfId="11"/>
    <tableColumn id="7" name="Graduation Rate" dataDxfId="10" dataCellStyle="Percent"/>
    <tableColumn id="8" name="Continuation Rate" dataDxfId="9" dataCellStyle="Percent"/>
  </tableColumns>
  <tableStyleInfo name="TableStyleMedium17 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090000" mc:Ignorable="a14" a14:legacySpreadsheetColorIndex="9"/>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090000" mc:Ignorable="a14" a14:legacySpreadsheetColorIndex="9"/>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K7:L50"/>
  <sheetViews>
    <sheetView showGridLines="0" zoomScaleNormal="100" workbookViewId="0">
      <selection activeCell="P19" sqref="P19"/>
    </sheetView>
  </sheetViews>
  <sheetFormatPr defaultColWidth="9.140625" defaultRowHeight="12.75" x14ac:dyDescent="0.2"/>
  <cols>
    <col min="1" max="16384" width="9.140625" style="238"/>
  </cols>
  <sheetData>
    <row r="7" spans="11:12" x14ac:dyDescent="0.2">
      <c r="L7" s="239"/>
    </row>
    <row r="11" spans="11:12" x14ac:dyDescent="0.2">
      <c r="K11" s="240"/>
    </row>
    <row r="50" ht="20.25" customHeight="1" x14ac:dyDescent="0.2"/>
  </sheetData>
  <sheetProtection password="C5D1" sheet="1" objects="1" scenarios="1"/>
  <pageMargins left="1" right="1" top="1" bottom="1" header="0.5" footer="0.5"/>
  <pageSetup orientation="portrait" horizontalDpi="300" verticalDpi="300" r:id="rId1"/>
  <headerFooter alignWithMargins="0">
    <oddFooter>&amp;L© C-IDEA, The University of Oklahoma, 12/14/14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35"/>
  <sheetViews>
    <sheetView showGridLines="0" tabSelected="1" zoomScaleNormal="100" workbookViewId="0">
      <selection sqref="A1:N1"/>
    </sheetView>
  </sheetViews>
  <sheetFormatPr defaultColWidth="9.140625" defaultRowHeight="12.75" x14ac:dyDescent="0.2"/>
  <cols>
    <col min="1" max="1" width="4" style="242" customWidth="1"/>
    <col min="2" max="2" width="2.7109375" style="238" customWidth="1"/>
    <col min="3" max="3" width="5.28515625" style="238" customWidth="1"/>
    <col min="4" max="11" width="9.140625" style="238"/>
    <col min="12" max="12" width="5.7109375" style="238" customWidth="1"/>
    <col min="13" max="13" width="9.140625" style="238" hidden="1" customWidth="1"/>
    <col min="14" max="14" width="3.85546875" style="238" customWidth="1"/>
    <col min="15" max="15" width="2.85546875" style="238" customWidth="1"/>
    <col min="16" max="16384" width="9.140625" style="238"/>
  </cols>
  <sheetData>
    <row r="1" spans="1:15" ht="38.25" customHeight="1" x14ac:dyDescent="0.25">
      <c r="A1" s="263" t="s">
        <v>757</v>
      </c>
      <c r="B1" s="263"/>
      <c r="C1" s="263"/>
      <c r="D1" s="263"/>
      <c r="E1" s="263"/>
      <c r="F1" s="263"/>
      <c r="G1" s="263"/>
      <c r="H1" s="263"/>
      <c r="I1" s="263"/>
      <c r="J1" s="263"/>
      <c r="K1" s="263"/>
      <c r="L1" s="263"/>
      <c r="M1" s="263"/>
      <c r="N1" s="263"/>
    </row>
    <row r="2" spans="1:15" ht="15.75" customHeight="1" x14ac:dyDescent="0.25">
      <c r="A2" s="243"/>
      <c r="B2" s="244"/>
      <c r="C2" s="244"/>
      <c r="D2" s="244"/>
      <c r="E2" s="244"/>
      <c r="F2" s="244"/>
      <c r="G2" s="244"/>
      <c r="H2" s="244"/>
      <c r="I2" s="244"/>
      <c r="J2" s="244"/>
      <c r="K2" s="244"/>
      <c r="L2" s="244"/>
      <c r="M2" s="244"/>
      <c r="N2" s="244"/>
    </row>
    <row r="3" spans="1:15" ht="10.5" customHeight="1" x14ac:dyDescent="0.25">
      <c r="A3" s="264"/>
      <c r="B3" s="265"/>
      <c r="C3" s="265"/>
      <c r="D3" s="265"/>
      <c r="E3" s="265"/>
      <c r="F3" s="265"/>
      <c r="G3" s="265"/>
      <c r="H3" s="265"/>
      <c r="I3" s="265"/>
      <c r="J3" s="265"/>
      <c r="K3" s="265"/>
      <c r="L3" s="265"/>
      <c r="M3" s="265"/>
      <c r="N3" s="265"/>
      <c r="O3" s="241"/>
    </row>
    <row r="4" spans="1:15" ht="15" customHeight="1" x14ac:dyDescent="0.2">
      <c r="A4" s="32"/>
      <c r="B4" s="236"/>
      <c r="C4" s="266"/>
      <c r="D4" s="266"/>
      <c r="E4" s="266"/>
      <c r="F4" s="266"/>
      <c r="G4" s="266"/>
      <c r="H4" s="266"/>
      <c r="I4" s="266"/>
      <c r="J4" s="266"/>
      <c r="K4" s="266"/>
      <c r="L4" s="266"/>
      <c r="M4" s="236"/>
      <c r="N4" s="267"/>
    </row>
    <row r="5" spans="1:15" ht="15" customHeight="1" x14ac:dyDescent="0.2">
      <c r="A5" s="32"/>
      <c r="B5" s="236"/>
      <c r="C5" s="266"/>
      <c r="D5" s="266"/>
      <c r="E5" s="266"/>
      <c r="F5" s="266"/>
      <c r="G5" s="266"/>
      <c r="H5" s="266"/>
      <c r="I5" s="266"/>
      <c r="J5" s="266"/>
      <c r="K5" s="266"/>
      <c r="L5" s="266"/>
      <c r="M5" s="236"/>
      <c r="N5" s="267"/>
    </row>
    <row r="6" spans="1:15" ht="15" customHeight="1" x14ac:dyDescent="0.2">
      <c r="A6" s="32"/>
      <c r="B6" s="236"/>
      <c r="C6" s="268"/>
      <c r="D6" s="268"/>
      <c r="E6" s="268"/>
      <c r="F6" s="268"/>
      <c r="G6" s="268"/>
      <c r="H6" s="268"/>
      <c r="I6" s="268"/>
      <c r="J6" s="268"/>
      <c r="K6" s="268"/>
      <c r="L6" s="268"/>
      <c r="M6" s="236"/>
      <c r="N6" s="267"/>
    </row>
    <row r="7" spans="1:15" ht="15" customHeight="1" x14ac:dyDescent="0.2">
      <c r="A7" s="32"/>
      <c r="B7" s="236"/>
      <c r="C7" s="266"/>
      <c r="D7" s="266"/>
      <c r="E7" s="266"/>
      <c r="F7" s="266"/>
      <c r="G7" s="266"/>
      <c r="H7" s="266"/>
      <c r="I7" s="266"/>
      <c r="J7" s="266"/>
      <c r="K7" s="266"/>
      <c r="L7" s="266"/>
      <c r="M7" s="236"/>
      <c r="N7" s="267"/>
    </row>
    <row r="8" spans="1:15" ht="15" customHeight="1" x14ac:dyDescent="0.2">
      <c r="A8" s="32"/>
      <c r="B8" s="236"/>
      <c r="C8" s="266"/>
      <c r="D8" s="266"/>
      <c r="E8" s="266"/>
      <c r="F8" s="266"/>
      <c r="G8" s="266"/>
      <c r="H8" s="266"/>
      <c r="I8" s="266"/>
      <c r="J8" s="266"/>
      <c r="K8" s="266"/>
      <c r="L8" s="266"/>
      <c r="M8" s="236"/>
      <c r="N8" s="267"/>
    </row>
    <row r="9" spans="1:15" ht="13.5" customHeight="1" x14ac:dyDescent="0.2">
      <c r="A9" s="32"/>
      <c r="B9" s="236"/>
      <c r="C9" s="266"/>
      <c r="D9" s="266"/>
      <c r="E9" s="266"/>
      <c r="F9" s="266"/>
      <c r="G9" s="266"/>
      <c r="H9" s="266"/>
      <c r="I9" s="266"/>
      <c r="J9" s="266"/>
      <c r="K9" s="266"/>
      <c r="L9" s="266"/>
      <c r="M9" s="236"/>
      <c r="N9" s="267"/>
    </row>
    <row r="10" spans="1:15" ht="6" customHeight="1" x14ac:dyDescent="0.2">
      <c r="A10" s="32"/>
      <c r="B10" s="236"/>
      <c r="C10" s="236"/>
      <c r="D10" s="236"/>
      <c r="E10" s="236"/>
      <c r="F10" s="236"/>
      <c r="G10" s="236"/>
      <c r="H10" s="236"/>
      <c r="I10" s="236"/>
      <c r="J10" s="236"/>
      <c r="K10" s="236"/>
      <c r="L10" s="236"/>
      <c r="M10" s="236"/>
      <c r="N10" s="267"/>
    </row>
    <row r="11" spans="1:15" s="241" customFormat="1" ht="7.5" customHeight="1" x14ac:dyDescent="0.2">
      <c r="A11" s="232"/>
      <c r="B11" s="236"/>
      <c r="C11" s="236"/>
      <c r="D11" s="236"/>
      <c r="E11" s="236"/>
      <c r="F11" s="236"/>
      <c r="G11" s="236"/>
      <c r="H11" s="236"/>
      <c r="I11" s="236"/>
      <c r="J11" s="236"/>
      <c r="K11" s="236"/>
      <c r="L11" s="236"/>
      <c r="M11" s="236"/>
      <c r="N11" s="237"/>
    </row>
    <row r="12" spans="1:15" s="241" customFormat="1" ht="6.75" customHeight="1" x14ac:dyDescent="0.2">
      <c r="A12" s="233"/>
      <c r="B12" s="234"/>
      <c r="C12" s="234"/>
      <c r="D12" s="234"/>
      <c r="E12" s="234"/>
      <c r="F12" s="234"/>
      <c r="G12" s="234"/>
      <c r="H12" s="234"/>
      <c r="I12" s="234"/>
      <c r="J12" s="234"/>
      <c r="K12" s="234"/>
      <c r="L12" s="234"/>
      <c r="M12" s="234"/>
      <c r="N12" s="234"/>
    </row>
    <row r="13" spans="1:15" ht="6" customHeight="1" x14ac:dyDescent="0.2">
      <c r="A13" s="253"/>
      <c r="B13" s="254"/>
      <c r="C13" s="254"/>
      <c r="D13" s="254"/>
      <c r="E13" s="254"/>
      <c r="F13" s="254"/>
      <c r="G13" s="254"/>
      <c r="H13" s="254"/>
      <c r="I13" s="254"/>
      <c r="J13" s="254"/>
      <c r="K13" s="254"/>
      <c r="L13" s="254"/>
      <c r="M13" s="254"/>
      <c r="N13" s="255"/>
    </row>
    <row r="14" spans="1:15" ht="12.75" customHeight="1" x14ac:dyDescent="0.2">
      <c r="A14" s="252"/>
      <c r="B14" s="256" t="s">
        <v>911</v>
      </c>
      <c r="C14" s="257"/>
      <c r="D14" s="257"/>
      <c r="E14" s="257"/>
      <c r="F14" s="257"/>
      <c r="G14" s="257"/>
      <c r="H14" s="257"/>
      <c r="I14" s="257"/>
      <c r="J14" s="257"/>
      <c r="K14" s="257"/>
      <c r="L14" s="257"/>
      <c r="M14" s="257"/>
      <c r="N14" s="258"/>
    </row>
    <row r="15" spans="1:15" x14ac:dyDescent="0.2">
      <c r="A15" s="252"/>
      <c r="B15" s="257"/>
      <c r="C15" s="257"/>
      <c r="D15" s="257"/>
      <c r="E15" s="257"/>
      <c r="F15" s="257"/>
      <c r="G15" s="257"/>
      <c r="H15" s="257"/>
      <c r="I15" s="257"/>
      <c r="J15" s="257"/>
      <c r="K15" s="257"/>
      <c r="L15" s="257"/>
      <c r="M15" s="257"/>
      <c r="N15" s="258"/>
    </row>
    <row r="16" spans="1:15" x14ac:dyDescent="0.2">
      <c r="A16" s="252"/>
      <c r="B16" s="257"/>
      <c r="C16" s="257"/>
      <c r="D16" s="257"/>
      <c r="E16" s="257"/>
      <c r="F16" s="257"/>
      <c r="G16" s="257"/>
      <c r="H16" s="257"/>
      <c r="I16" s="257"/>
      <c r="J16" s="257"/>
      <c r="K16" s="257"/>
      <c r="L16" s="257"/>
      <c r="M16" s="257"/>
      <c r="N16" s="258"/>
    </row>
    <row r="17" spans="1:14" ht="4.5" customHeight="1" x14ac:dyDescent="0.2">
      <c r="A17" s="252"/>
      <c r="B17" s="257"/>
      <c r="C17" s="257"/>
      <c r="D17" s="257"/>
      <c r="E17" s="257"/>
      <c r="F17" s="257"/>
      <c r="G17" s="257"/>
      <c r="H17" s="257"/>
      <c r="I17" s="257"/>
      <c r="J17" s="257"/>
      <c r="K17" s="257"/>
      <c r="L17" s="257"/>
      <c r="M17" s="257"/>
      <c r="N17" s="258"/>
    </row>
    <row r="18" spans="1:14" ht="12.75" customHeight="1" x14ac:dyDescent="0.2">
      <c r="A18" s="259"/>
      <c r="B18" s="260"/>
      <c r="C18" s="260"/>
      <c r="D18" s="260"/>
      <c r="E18" s="260"/>
      <c r="F18" s="260"/>
      <c r="G18" s="260"/>
      <c r="H18" s="260"/>
      <c r="I18" s="260"/>
      <c r="J18" s="260"/>
      <c r="K18" s="260"/>
      <c r="L18" s="260"/>
      <c r="M18" s="260"/>
      <c r="N18" s="261"/>
    </row>
    <row r="19" spans="1:14" ht="4.5" customHeight="1" x14ac:dyDescent="0.2">
      <c r="A19" s="245"/>
      <c r="B19" s="26"/>
      <c r="C19" s="26"/>
      <c r="D19" s="26"/>
      <c r="E19" s="26"/>
      <c r="F19" s="26"/>
      <c r="G19" s="26"/>
      <c r="H19" s="26"/>
      <c r="I19" s="26"/>
      <c r="J19" s="26"/>
      <c r="K19" s="26"/>
      <c r="L19" s="26"/>
      <c r="M19" s="26"/>
      <c r="N19" s="26"/>
    </row>
    <row r="20" spans="1:14" ht="9" customHeight="1" x14ac:dyDescent="0.2">
      <c r="A20" s="245"/>
      <c r="B20" s="26"/>
      <c r="C20" s="26"/>
      <c r="D20" s="26"/>
      <c r="E20" s="26"/>
      <c r="F20" s="26"/>
      <c r="G20" s="26"/>
      <c r="H20" s="26"/>
      <c r="I20" s="26"/>
      <c r="J20" s="26"/>
      <c r="K20" s="26"/>
      <c r="L20" s="26"/>
      <c r="M20" s="26"/>
      <c r="N20" s="26"/>
    </row>
    <row r="21" spans="1:14" x14ac:dyDescent="0.2">
      <c r="F21" s="262"/>
      <c r="G21" s="262"/>
      <c r="H21" s="262"/>
      <c r="I21" s="262"/>
    </row>
    <row r="30" spans="1:14" ht="12.75" customHeight="1" x14ac:dyDescent="0.2"/>
    <row r="31" spans="1:14" ht="12.75" customHeight="1" x14ac:dyDescent="0.2"/>
    <row r="32" spans="1:14" ht="12.75" customHeight="1" x14ac:dyDescent="0.2"/>
    <row r="33" ht="12.75" customHeight="1" x14ac:dyDescent="0.2"/>
    <row r="34" ht="12.75" customHeight="1" x14ac:dyDescent="0.2"/>
    <row r="35" ht="12.75" customHeight="1" x14ac:dyDescent="0.2"/>
  </sheetData>
  <sheetProtection password="C5D1" sheet="1" objects="1" scenarios="1"/>
  <mergeCells count="14">
    <mergeCell ref="A1:N1"/>
    <mergeCell ref="A3:N3"/>
    <mergeCell ref="C4:L4"/>
    <mergeCell ref="N4:N10"/>
    <mergeCell ref="C5:L5"/>
    <mergeCell ref="C6:L6"/>
    <mergeCell ref="C7:L7"/>
    <mergeCell ref="C8:L8"/>
    <mergeCell ref="C9:L9"/>
    <mergeCell ref="A13:N13"/>
    <mergeCell ref="B14:M17"/>
    <mergeCell ref="N14:N17"/>
    <mergeCell ref="A18:N18"/>
    <mergeCell ref="F21:I21"/>
  </mergeCells>
  <pageMargins left="1.07" right="1.43" top="0.25" bottom="1.02" header="0.5" footer="0.41"/>
  <pageSetup scale="77" orientation="portrait" horizontalDpi="300" verticalDpi="300" r:id="rId1"/>
  <headerFooter alignWithMargins="0">
    <oddFooter>&amp;L
© C-IDEA, The University of Oklahoma, 12/14/14</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8"/>
  </sheetPr>
  <dimension ref="A1:AN129"/>
  <sheetViews>
    <sheetView zoomScale="90" zoomScaleNormal="90" workbookViewId="0">
      <pane ySplit="7" topLeftCell="A8" activePane="bottomLeft" state="frozen"/>
      <selection pane="bottomLeft" activeCell="I116" sqref="I116"/>
    </sheetView>
  </sheetViews>
  <sheetFormatPr defaultColWidth="9.140625" defaultRowHeight="12.75" x14ac:dyDescent="0.2"/>
  <cols>
    <col min="1" max="1" width="7.85546875" style="29" customWidth="1"/>
    <col min="2" max="2" width="10.28515625" style="36" customWidth="1"/>
    <col min="3" max="3" width="9.28515625" style="37" customWidth="1"/>
    <col min="4" max="4" width="7.7109375" style="15" customWidth="1"/>
    <col min="5" max="5" width="6.28515625" style="38" customWidth="1"/>
    <col min="6" max="6" width="7" style="15" bestFit="1" customWidth="1"/>
    <col min="7" max="7" width="9.28515625" style="39" bestFit="1" customWidth="1"/>
    <col min="8" max="14" width="9.28515625" style="77" customWidth="1"/>
    <col min="15" max="16" width="9.28515625" style="76" customWidth="1"/>
    <col min="17" max="21" width="9.28515625" style="84" customWidth="1"/>
    <col min="22" max="22" width="9.28515625" style="76" customWidth="1"/>
    <col min="23" max="23" width="9.140625" style="15"/>
    <col min="24" max="24" width="9.140625" style="138"/>
    <col min="25" max="16384" width="9.140625" style="15"/>
  </cols>
  <sheetData>
    <row r="1" spans="1:33" ht="18" customHeight="1" x14ac:dyDescent="0.2">
      <c r="A1" s="279" t="s">
        <v>62</v>
      </c>
      <c r="B1" s="279"/>
      <c r="C1" s="279"/>
      <c r="D1" s="283" t="s">
        <v>917</v>
      </c>
      <c r="E1" s="283"/>
      <c r="F1" s="283"/>
      <c r="G1" s="283"/>
      <c r="H1" s="283"/>
      <c r="I1" s="283"/>
      <c r="J1" s="284"/>
      <c r="O1" s="78" t="s">
        <v>66</v>
      </c>
      <c r="P1" s="79"/>
      <c r="Q1" s="281" t="s">
        <v>918</v>
      </c>
      <c r="R1" s="281"/>
      <c r="S1" s="281"/>
      <c r="T1" s="281"/>
      <c r="U1" s="282"/>
      <c r="V1" s="282"/>
    </row>
    <row r="2" spans="1:33" ht="25.5" customHeight="1" x14ac:dyDescent="0.2">
      <c r="A2" s="293" t="s">
        <v>95</v>
      </c>
      <c r="B2" s="293"/>
      <c r="C2" s="293"/>
      <c r="D2" s="293"/>
      <c r="E2" s="293"/>
      <c r="F2" s="293"/>
      <c r="G2" s="293"/>
      <c r="H2" s="293"/>
      <c r="I2" s="293"/>
      <c r="J2" s="293"/>
      <c r="O2" s="80" t="s">
        <v>67</v>
      </c>
      <c r="P2" s="80"/>
      <c r="Q2" s="286" t="s">
        <v>919</v>
      </c>
      <c r="R2" s="287"/>
      <c r="S2" s="287"/>
      <c r="T2" s="287"/>
      <c r="U2" s="288"/>
      <c r="V2" s="288"/>
    </row>
    <row r="3" spans="1:33" ht="15.75" customHeight="1" x14ac:dyDescent="0.2">
      <c r="A3" s="41" t="s">
        <v>50</v>
      </c>
      <c r="B3" s="27"/>
      <c r="C3" s="40"/>
      <c r="D3" s="27"/>
      <c r="E3" s="28"/>
      <c r="F3" s="27"/>
      <c r="G3" s="27"/>
      <c r="H3" s="81"/>
      <c r="I3" s="81"/>
      <c r="O3" s="82" t="s">
        <v>68</v>
      </c>
      <c r="P3" s="83"/>
      <c r="Q3" s="289" t="s">
        <v>920</v>
      </c>
      <c r="R3" s="289"/>
      <c r="S3" s="289"/>
      <c r="T3" s="289"/>
      <c r="U3" s="290"/>
      <c r="V3" s="290"/>
    </row>
    <row r="4" spans="1:33" s="35" customFormat="1" ht="14.25" customHeight="1" x14ac:dyDescent="0.2">
      <c r="A4" s="34"/>
      <c r="B4" s="280" t="s">
        <v>139</v>
      </c>
      <c r="C4" s="280"/>
      <c r="D4" s="280"/>
      <c r="E4" s="280"/>
      <c r="F4" s="280"/>
      <c r="G4" s="280"/>
      <c r="H4" s="280"/>
      <c r="I4" s="280"/>
      <c r="J4" s="280"/>
      <c r="K4" s="131"/>
      <c r="L4" s="132" t="s">
        <v>756</v>
      </c>
      <c r="M4" s="133"/>
      <c r="N4" s="134"/>
      <c r="O4" s="135"/>
      <c r="P4" s="136"/>
      <c r="Q4" s="285" t="s">
        <v>82</v>
      </c>
      <c r="R4" s="285"/>
      <c r="S4" s="285"/>
      <c r="T4" s="285"/>
      <c r="U4" s="278"/>
      <c r="V4" s="278"/>
      <c r="X4" s="138"/>
      <c r="Y4" s="15"/>
    </row>
    <row r="5" spans="1:33" s="19" customFormat="1" ht="18" customHeight="1" x14ac:dyDescent="0.2">
      <c r="A5" s="18"/>
      <c r="B5" s="53"/>
      <c r="C5" s="51"/>
      <c r="D5" s="54"/>
      <c r="E5" s="55"/>
      <c r="F5" s="54"/>
      <c r="G5" s="291" t="s">
        <v>136</v>
      </c>
      <c r="H5" s="291"/>
      <c r="I5" s="291"/>
      <c r="J5" s="291"/>
      <c r="K5" s="291"/>
      <c r="L5" s="291"/>
      <c r="M5" s="291"/>
      <c r="N5" s="291"/>
      <c r="O5" s="291"/>
      <c r="P5" s="291"/>
      <c r="Q5" s="291"/>
      <c r="R5" s="291"/>
      <c r="S5" s="291"/>
      <c r="T5" s="291"/>
      <c r="U5" s="291"/>
      <c r="V5" s="291"/>
      <c r="X5" s="138"/>
      <c r="Y5" s="15"/>
    </row>
    <row r="6" spans="1:33" s="19" customFormat="1" ht="15" customHeight="1" x14ac:dyDescent="0.2">
      <c r="A6" s="18"/>
      <c r="B6" s="65" t="s">
        <v>12</v>
      </c>
      <c r="C6" s="66" t="s">
        <v>90</v>
      </c>
      <c r="D6" s="67" t="s">
        <v>0</v>
      </c>
      <c r="E6" s="278" t="s">
        <v>2</v>
      </c>
      <c r="F6" s="278"/>
      <c r="G6" s="62" t="s">
        <v>127</v>
      </c>
      <c r="H6" s="62" t="s">
        <v>127</v>
      </c>
      <c r="I6" s="62" t="s">
        <v>128</v>
      </c>
      <c r="J6" s="62" t="s">
        <v>127</v>
      </c>
      <c r="K6" s="62" t="s">
        <v>128</v>
      </c>
      <c r="L6" s="62" t="s">
        <v>127</v>
      </c>
      <c r="M6" s="62" t="s">
        <v>128</v>
      </c>
      <c r="N6" s="62" t="s">
        <v>127</v>
      </c>
      <c r="O6" s="62" t="s">
        <v>128</v>
      </c>
      <c r="P6" s="62" t="s">
        <v>127</v>
      </c>
      <c r="Q6" s="62" t="s">
        <v>128</v>
      </c>
      <c r="R6" s="62" t="s">
        <v>127</v>
      </c>
      <c r="S6" s="62" t="s">
        <v>128</v>
      </c>
      <c r="T6" s="62" t="s">
        <v>127</v>
      </c>
      <c r="U6" s="62" t="s">
        <v>128</v>
      </c>
      <c r="V6" s="62" t="s">
        <v>127</v>
      </c>
      <c r="X6" s="208"/>
      <c r="Y6" s="15"/>
    </row>
    <row r="7" spans="1:33" s="52" customFormat="1" ht="15" customHeight="1" x14ac:dyDescent="0.2">
      <c r="A7" s="51" t="s">
        <v>161</v>
      </c>
      <c r="B7" s="65" t="s">
        <v>48</v>
      </c>
      <c r="C7" s="66" t="s">
        <v>14</v>
      </c>
      <c r="D7" s="67" t="s">
        <v>1</v>
      </c>
      <c r="E7" s="67" t="s">
        <v>51</v>
      </c>
      <c r="F7" s="67" t="s">
        <v>52</v>
      </c>
      <c r="G7" s="62" t="s">
        <v>74</v>
      </c>
      <c r="H7" s="62" t="s">
        <v>75</v>
      </c>
      <c r="I7" s="62" t="s">
        <v>76</v>
      </c>
      <c r="J7" s="62" t="s">
        <v>77</v>
      </c>
      <c r="K7" s="62" t="s">
        <v>78</v>
      </c>
      <c r="L7" s="62" t="s">
        <v>79</v>
      </c>
      <c r="M7" s="62" t="s">
        <v>80</v>
      </c>
      <c r="N7" s="62" t="s">
        <v>81</v>
      </c>
      <c r="O7" s="62" t="s">
        <v>121</v>
      </c>
      <c r="P7" s="62" t="s">
        <v>116</v>
      </c>
      <c r="Q7" s="62" t="s">
        <v>115</v>
      </c>
      <c r="R7" s="62" t="s">
        <v>118</v>
      </c>
      <c r="S7" s="62" t="s">
        <v>117</v>
      </c>
      <c r="T7" s="62" t="s">
        <v>120</v>
      </c>
      <c r="U7" s="62" t="s">
        <v>119</v>
      </c>
      <c r="V7" s="62" t="s">
        <v>124</v>
      </c>
      <c r="X7" s="209" t="s">
        <v>900</v>
      </c>
      <c r="Y7" s="16"/>
    </row>
    <row r="8" spans="1:33" s="52" customFormat="1" ht="15" customHeight="1" x14ac:dyDescent="0.2">
      <c r="A8" s="184">
        <v>53</v>
      </c>
      <c r="B8" s="185" t="s">
        <v>53</v>
      </c>
      <c r="C8" s="102">
        <v>2004</v>
      </c>
      <c r="D8" s="60">
        <f>IFERROR(IF(LEN(VLOOKUP($B8&amp;$C8,HeadcountAndScoresTable[],IF(D$7="Count",5,IF(D$7="ACT",6,7)),0))=0,"",VLOOKUP($B8&amp;$C8,HeadcountAndScoresTable[],IF(D$7="Count",5,IF(D$7="ACT",6,7)),0)),"")</f>
        <v>856</v>
      </c>
      <c r="E8" s="98">
        <f>IFERROR(IF(LEN(VLOOKUP($B8&amp;$C8,HeadcountAndScoresTable[],IF(E$7="Count",5,IF(E$7="ACT",6,7)),0))=0,"",VLOOKUP($B8&amp;$C8,HeadcountAndScoresTable[],IF(E$7="Count",5,IF(E$7="ACT",6,7)),0)),"")</f>
        <v>20.9</v>
      </c>
      <c r="F8" s="103" t="str">
        <f>IFERROR(IF(LEN(VLOOKUP($B8&amp;$C8,HeadcountAndScoresTable[],IF(F$7="Count",5,IF(F$7="ACT",6,7)),0))=0,"",VLOOKUP($B8&amp;$C8,HeadcountAndScoresTable[],IF(F$7="Count",5,IF(F$7="ACT",6,7)),0)),"")</f>
        <v/>
      </c>
      <c r="G8" s="100">
        <f>IFERROR(IF(LEN(VLOOKUP($B8&amp;$C8&amp;$C8+MID(G$7,4,IF(COLUMN()&gt;19,2,1))-IF(LEFT(G$7,2)="to",1,0),RatesTable[],IF(LEFT(G$7,2)="in",6,7),0))=0,"",VLOOKUP($B8&amp;$C8&amp;$C8+MID(G$7,4,IF(COLUMN()&gt;19,2,1))-IF(LEFT(G$7,2)="to",1,0),RatesTable[],IF(LEFT(G$7,2)="in",6,7),0)),"")</f>
        <v>0.67800000000000005</v>
      </c>
      <c r="H8" s="71">
        <f>IFERROR(IF(LEN(VLOOKUP($B8&amp;$C8&amp;$C8+MID(H$7,4,IF(COLUMN()&gt;19,2,1))-IF(LEFT(H$7,2)="to",1,0),RatesTable[],IF(LEFT(H$7,2)="in",6,7),0))=0,"",VLOOKUP($B8&amp;$C8&amp;$C8+MID(H$7,4,IF(COLUMN()&gt;19,2,1))-IF(LEFT(H$7,2)="to",1,0),RatesTable[],IF(LEFT(H$7,2)="in",6,7),0)),"")</f>
        <v>0.52700000000000002</v>
      </c>
      <c r="I8" s="71">
        <f>IFERROR(IF(LEN(VLOOKUP($B8&amp;$C8&amp;$C8+MID(I$7,4,IF(COLUMN()&gt;19,2,1))-IF(LEFT(I$7,2)="to",1,0),RatesTable[],IF(LEFT(I$7,2)="in",6,7),0))=0,"",VLOOKUP($B8&amp;$C8&amp;$C8+MID(I$7,4,IF(COLUMN()&gt;19,2,1))-IF(LEFT(I$7,2)="to",1,0),RatesTable[],IF(LEFT(I$7,2)="in",6,7),0)),"")</f>
        <v>0.125</v>
      </c>
      <c r="J8" s="71">
        <f>IFERROR(IF(LEN(VLOOKUP($B8&amp;$C8&amp;$C8+MID(J$7,4,IF(COLUMN()&gt;19,2,1))-IF(LEFT(J$7,2)="to",1,0),RatesTable[],IF(LEFT(J$7,2)="in",6,7),0))=0,"",VLOOKUP($B8&amp;$C8&amp;$C8+MID(J$7,4,IF(COLUMN()&gt;19,2,1))-IF(LEFT(J$7,2)="to",1,0),RatesTable[],IF(LEFT(J$7,2)="in",6,7),0)),"")</f>
        <v>0.26100000000000001</v>
      </c>
      <c r="K8" s="71">
        <f>IFERROR(IF(LEN(VLOOKUP($B8&amp;$C8&amp;$C8+MID(K$7,4,IF(COLUMN()&gt;19,2,1))-IF(LEFT(K$7,2)="to",1,0),RatesTable[],IF(LEFT(K$7,2)="in",6,7),0))=0,"",VLOOKUP($B8&amp;$C8&amp;$C8+MID(K$7,4,IF(COLUMN()&gt;19,2,1))-IF(LEFT(K$7,2)="to",1,0),RatesTable[],IF(LEFT(K$7,2)="in",6,7),0)),"")</f>
        <v>0.28699999999999998</v>
      </c>
      <c r="L8" s="71">
        <f>IFERROR(IF(LEN(VLOOKUP($B8&amp;$C8&amp;$C8+MID(L$7,4,IF(COLUMN()&gt;19,2,1))-IF(LEFT(L$7,2)="to",1,0),RatesTable[],IF(LEFT(L$7,2)="in",6,7),0))=0,"",VLOOKUP($B8&amp;$C8&amp;$C8+MID(L$7,4,IF(COLUMN()&gt;19,2,1))-IF(LEFT(L$7,2)="to",1,0),RatesTable[],IF(LEFT(L$7,2)="in",6,7),0)),"")</f>
        <v>8.4000000000000005E-2</v>
      </c>
      <c r="M8" s="71">
        <f>IFERROR(IF(LEN(VLOOKUP($B8&amp;$C8&amp;$C8+MID(M$7,4,IF(COLUMN()&gt;19,2,1))-IF(LEFT(M$7,2)="to",1,0),RatesTable[],IF(LEFT(M$7,2)="in",6,7),0))=0,"",VLOOKUP($B8&amp;$C8&amp;$C8+MID(M$7,4,IF(COLUMN()&gt;19,2,1))-IF(LEFT(M$7,2)="to",1,0),RatesTable[],IF(LEFT(M$7,2)="in",6,7),0)),"")</f>
        <v>0.33100000000000002</v>
      </c>
      <c r="N8" s="71">
        <f>IFERROR(IF(LEN(VLOOKUP($B8&amp;$C8&amp;$C8+MID(N$7,4,IF(COLUMN()&gt;19,2,1))-IF(LEFT(N$7,2)="to",1,0),RatesTable[],IF(LEFT(N$7,2)="in",6,7),0))=0,"",VLOOKUP($B8&amp;$C8&amp;$C8+MID(N$7,4,IF(COLUMN()&gt;19,2,1))-IF(LEFT(N$7,2)="to",1,0),RatesTable[],IF(LEFT(N$7,2)="in",6,7),0)),"")</f>
        <v>0.04</v>
      </c>
      <c r="O8" s="71">
        <f>IFERROR(IF(LEN(VLOOKUP($B8&amp;$C8&amp;$C8+MID(O$7,4,IF(COLUMN()&gt;19,2,1))-IF(LEFT(O$7,2)="to",1,0),RatesTable[],IF(LEFT(O$7,2)="in",6,7),0))=0,"",VLOOKUP($B8&amp;$C8&amp;$C8+MID(O$7,4,IF(COLUMN()&gt;19,2,1))-IF(LEFT(O$7,2)="to",1,0),RatesTable[],IF(LEFT(O$7,2)="in",6,7),0)),"")</f>
        <v>0.35</v>
      </c>
      <c r="P8" s="71">
        <f>IFERROR(IF(LEN(VLOOKUP($B8&amp;$C8&amp;$C8+MID(P$7,4,IF(COLUMN()&gt;19,2,1))-IF(LEFT(P$7,2)="to",1,0),RatesTable[],IF(LEFT(P$7,2)="in",6,7),0))=0,"",VLOOKUP($B8&amp;$C8&amp;$C8+MID(P$7,4,IF(COLUMN()&gt;19,2,1))-IF(LEFT(P$7,2)="to",1,0),RatesTable[],IF(LEFT(P$7,2)="in",6,7),0)),"")</f>
        <v>0.02</v>
      </c>
      <c r="Q8" s="71">
        <f>IFERROR(IF(LEN(VLOOKUP($B8&amp;$C8&amp;$C8+MID(Q$7,4,IF(COLUMN()&gt;19,2,1))-IF(LEFT(Q$7,2)="to",1,0),RatesTable[],IF(LEFT(Q$7,2)="in",6,7),0))=0,"",VLOOKUP($B8&amp;$C8&amp;$C8+MID(Q$7,4,IF(COLUMN()&gt;19,2,1))-IF(LEFT(Q$7,2)="to",1,0),RatesTable[],IF(LEFT(Q$7,2)="in",6,7),0)),"")</f>
        <v>0.36199999999999999</v>
      </c>
      <c r="R8" s="71">
        <f>IFERROR(IF(LEN(VLOOKUP($B8&amp;$C8&amp;$C8+MID(R$7,4,IF(COLUMN()&gt;19,2,1))-IF(LEFT(R$7,2)="to",1,0),RatesTable[],IF(LEFT(R$7,2)="in",6,7),0))=0,"",VLOOKUP($B8&amp;$C8&amp;$C8+MID(R$7,4,IF(COLUMN()&gt;19,2,1))-IF(LEFT(R$7,2)="to",1,0),RatesTable[],IF(LEFT(R$7,2)="in",6,7),0)),"")</f>
        <v>8.0000000000000002E-3</v>
      </c>
      <c r="S8" s="71">
        <f>IFERROR(IF(LEN(VLOOKUP($B8&amp;$C8&amp;$C8+MID(S$7,4,IF(COLUMN()&gt;19,2,1))-IF(LEFT(S$7,2)="to",1,0),RatesTable[],IF(LEFT(S$7,2)="in",6,7),0))=0,"",VLOOKUP($B8&amp;$C8&amp;$C8+MID(S$7,4,IF(COLUMN()&gt;19,2,1))-IF(LEFT(S$7,2)="to",1,0),RatesTable[],IF(LEFT(S$7,2)="in",6,7),0)),"")</f>
        <v>0.36599999999999999</v>
      </c>
      <c r="T8" s="71">
        <f>IFERROR(IF(LEN(VLOOKUP($B8&amp;$C8&amp;$C8+MID(T$7,4,IF(COLUMN()&gt;19,2,1))-IF(LEFT(T$7,2)="to",1,0),RatesTable[],IF(LEFT(T$7,2)="in",6,7),0))=0,"",VLOOKUP($B8&amp;$C8&amp;$C8+MID(T$7,4,IF(COLUMN()&gt;19,2,1))-IF(LEFT(T$7,2)="to",1,0),RatesTable[],IF(LEFT(T$7,2)="in",6,7),0)),"")</f>
        <v>1.9E-2</v>
      </c>
      <c r="U8" s="71">
        <f>316/856</f>
        <v>0.36915887850467288</v>
      </c>
      <c r="V8" s="71">
        <f>8/856</f>
        <v>9.3457943925233638E-3</v>
      </c>
      <c r="W8" s="210"/>
      <c r="X8" s="223"/>
      <c r="Y8" s="161" t="s">
        <v>764</v>
      </c>
      <c r="AG8" s="201"/>
    </row>
    <row r="9" spans="1:33" ht="15" customHeight="1" x14ac:dyDescent="0.2">
      <c r="A9" t="str">
        <f>REPT("0",4-LEN($A$8))&amp;$A$8</f>
        <v>0053</v>
      </c>
      <c r="B9" s="101" t="s">
        <v>53</v>
      </c>
      <c r="C9" s="102">
        <v>2005</v>
      </c>
      <c r="D9" s="99">
        <f>IFERROR(IF(LEN(VLOOKUP($B9&amp;$C9,HeadcountAndScoresTable[],IF(D$7="Count",5,IF(D$7="ACT",6,7)),0))=0,"",VLOOKUP($B9&amp;$C9,HeadcountAndScoresTable[],IF(D$7="Count",5,IF(D$7="ACT",6,7)),0)),"")</f>
        <v>982</v>
      </c>
      <c r="E9" s="105">
        <f>IFERROR(IF(LEN(VLOOKUP($B9&amp;$C9,HeadcountAndScoresTable[],IF(E$7="Count",5,IF(E$7="ACT",6,7)),0))=0,"",VLOOKUP($B9&amp;$C9,HeadcountAndScoresTable[],IF(E$7="Count",5,IF(E$7="ACT",6,7)),0)),"")</f>
        <v>20.6</v>
      </c>
      <c r="F9" s="104" t="str">
        <f>IFERROR(IF(LEN(VLOOKUP($B9&amp;$C9,HeadcountAndScoresTable[],IF(F$7="Count",5,IF(F$7="ACT",6,7)),0))=0,"",VLOOKUP($B9&amp;$C9,HeadcountAndScoresTable[],IF(F$7="Count",5,IF(F$7="ACT",6,7)),0)),"")</f>
        <v/>
      </c>
      <c r="G9" s="106">
        <f>IFERROR(IF(LEN(VLOOKUP($B9&amp;$C9&amp;$C9+MID(G$7,4,IF(COLUMN()&gt;19,2,1))-IF(LEFT(G$7,2)="to",1,0),RatesTable[],IF(LEFT(G$7,2)="in",6,7),0))=0,"",VLOOKUP($B9&amp;$C9&amp;$C9+MID(G$7,4,IF(COLUMN()&gt;19,2,1))-IF(LEFT(G$7,2)="to",1,0),RatesTable[],IF(LEFT(G$7,2)="in",6,7),0)),"")</f>
        <v>0.67400000000000004</v>
      </c>
      <c r="H9" s="106">
        <f>IFERROR(IF(LEN(VLOOKUP($B9&amp;$C9&amp;$C9+MID(H$7,4,IF(COLUMN()&gt;19,2,1))-IF(LEFT(H$7,2)="to",1,0),RatesTable[],IF(LEFT(H$7,2)="in",6,7),0))=0,"",VLOOKUP($B9&amp;$C9&amp;$C9+MID(H$7,4,IF(COLUMN()&gt;19,2,1))-IF(LEFT(H$7,2)="to",1,0),RatesTable[],IF(LEFT(H$7,2)="in",6,7),0)),"")</f>
        <v>0.51800000000000002</v>
      </c>
      <c r="I9" s="106">
        <f>IFERROR(IF(LEN(VLOOKUP($B9&amp;$C9&amp;$C9+MID(I$7,4,IF(COLUMN()&gt;19,2,1))-IF(LEFT(I$7,2)="to",1,0),RatesTable[],IF(LEFT(I$7,2)="in",6,7),0))=0,"",VLOOKUP($B9&amp;$C9&amp;$C9+MID(I$7,4,IF(COLUMN()&gt;19,2,1))-IF(LEFT(I$7,2)="to",1,0),RatesTable[],IF(LEFT(I$7,2)="in",6,7),0)),"")</f>
        <v>0.11</v>
      </c>
      <c r="J9" s="106">
        <f>IFERROR(IF(LEN(VLOOKUP($B9&amp;$C9&amp;$C9+MID(J$7,4,IF(COLUMN()&gt;19,2,1))-IF(LEFT(J$7,2)="to",1,0),RatesTable[],IF(LEFT(J$7,2)="in",6,7),0))=0,"",VLOOKUP($B9&amp;$C9&amp;$C9+MID(J$7,4,IF(COLUMN()&gt;19,2,1))-IF(LEFT(J$7,2)="to",1,0),RatesTable[],IF(LEFT(J$7,2)="in",6,7),0)),"")</f>
        <v>0.26900000000000002</v>
      </c>
      <c r="K9" s="106">
        <f>IFERROR(IF(LEN(VLOOKUP($B9&amp;$C9&amp;$C9+MID(K$7,4,IF(COLUMN()&gt;19,2,1))-IF(LEFT(K$7,2)="to",1,0),RatesTable[],IF(LEFT(K$7,2)="in",6,7),0))=0,"",VLOOKUP($B9&amp;$C9&amp;$C9+MID(K$7,4,IF(COLUMN()&gt;19,2,1))-IF(LEFT(K$7,2)="to",1,0),RatesTable[],IF(LEFT(K$7,2)="in",6,7),0)),"")</f>
        <v>0.27400000000000002</v>
      </c>
      <c r="L9" s="106">
        <f>IFERROR(IF(LEN(VLOOKUP($B9&amp;$C9&amp;$C9+MID(L$7,4,IF(COLUMN()&gt;19,2,1))-IF(LEFT(L$7,2)="to",1,0),RatesTable[],IF(LEFT(L$7,2)="in",6,7),0))=0,"",VLOOKUP($B9&amp;$C9&amp;$C9+MID(L$7,4,IF(COLUMN()&gt;19,2,1))-IF(LEFT(L$7,2)="to",1,0),RatesTable[],IF(LEFT(L$7,2)="in",6,7),0)),"")</f>
        <v>0.1</v>
      </c>
      <c r="M9" s="107">
        <f>IFERROR(IF(LEN(VLOOKUP($B9&amp;$C9&amp;$C9+MID(M$7,4,IF(COLUMN()&gt;19,2,1))-IF(LEFT(M$7,2)="to",1,0),RatesTable[],IF(LEFT(M$7,2)="in",6,7),0))=0,"",VLOOKUP($B9&amp;$C9&amp;$C9+MID(M$7,4,IF(COLUMN()&gt;19,2,1))-IF(LEFT(M$7,2)="to",1,0),RatesTable[],IF(LEFT(M$7,2)="in",6,7),0)),"")</f>
        <v>0.33300000000000002</v>
      </c>
      <c r="N9" s="107">
        <f>IFERROR(IF(LEN(VLOOKUP($B9&amp;$C9&amp;$C9+MID(N$7,4,IF(COLUMN()&gt;19,2,1))-IF(LEFT(N$7,2)="to",1,0),RatesTable[],IF(LEFT(N$7,2)="in",6,7),0))=0,"",VLOOKUP($B9&amp;$C9&amp;$C9+MID(N$7,4,IF(COLUMN()&gt;19,2,1))-IF(LEFT(N$7,2)="to",1,0),RatesTable[],IF(LEFT(N$7,2)="in",6,7),0)),"")</f>
        <v>4.2999999999999997E-2</v>
      </c>
      <c r="O9" s="107">
        <f>IFERROR(IF(LEN(VLOOKUP($B9&amp;$C9&amp;$C9+MID(O$7,4,IF(COLUMN()&gt;19,2,1))-IF(LEFT(O$7,2)="to",1,0),RatesTable[],IF(LEFT(O$7,2)="in",6,7),0))=0,"",VLOOKUP($B9&amp;$C9&amp;$C9+MID(O$7,4,IF(COLUMN()&gt;19,2,1))-IF(LEFT(O$7,2)="to",1,0),RatesTable[],IF(LEFT(O$7,2)="in",6,7),0)),"")</f>
        <v>0.35499999999999998</v>
      </c>
      <c r="P9" s="107">
        <f>IFERROR(IF(LEN(VLOOKUP($B9&amp;$C9&amp;$C9+MID(P$7,4,IF(COLUMN()&gt;19,2,1))-IF(LEFT(P$7,2)="to",1,0),RatesTable[],IF(LEFT(P$7,2)="in",6,7),0))=0,"",VLOOKUP($B9&amp;$C9&amp;$C9+MID(P$7,4,IF(COLUMN()&gt;19,2,1))-IF(LEFT(P$7,2)="to",1,0),RatesTable[],IF(LEFT(P$7,2)="in",6,7),0)),"")</f>
        <v>2.4E-2</v>
      </c>
      <c r="Q9" s="89">
        <f>IFERROR(IF(LEN(VLOOKUP($B9&amp;$C9&amp;$C9+MID(Q$7,4,IF(COLUMN()&gt;19,2,1))-IF(LEFT(Q$7,2)="to",1,0),RatesTable[],IF(LEFT(Q$7,2)="in",6,7),0))=0,"",VLOOKUP($B9&amp;$C9&amp;$C9+MID(Q$7,4,IF(COLUMN()&gt;19,2,1))-IF(LEFT(Q$7,2)="to",1,0),RatesTable[],IF(LEFT(Q$7,2)="in",6,7),0)),"")</f>
        <v>0.36899999999999999</v>
      </c>
      <c r="R9" s="89">
        <f>IFERROR(IF(LEN(VLOOKUP($B9&amp;$C9&amp;$C9+MID(R$7,4,IF(COLUMN()&gt;19,2,1))-IF(LEFT(R$7,2)="to",1,0),RatesTable[],IF(LEFT(R$7,2)="in",6,7),0))=0,"",VLOOKUP($B9&amp;$C9&amp;$C9+MID(R$7,4,IF(COLUMN()&gt;19,2,1))-IF(LEFT(R$7,2)="to",1,0),RatesTable[],IF(LEFT(R$7,2)="in",6,7),0)),"")</f>
        <v>1.6E-2</v>
      </c>
      <c r="S9" s="90">
        <f>363/982</f>
        <v>0.36965376782077392</v>
      </c>
      <c r="T9" s="71">
        <f>10/982</f>
        <v>1.0183299389002037E-2</v>
      </c>
      <c r="V9" s="84"/>
      <c r="W9" s="210"/>
      <c r="X9" s="212"/>
      <c r="Y9" s="161" t="s">
        <v>158</v>
      </c>
      <c r="AG9" s="137"/>
    </row>
    <row r="10" spans="1:33" ht="15" customHeight="1" x14ac:dyDescent="0.2">
      <c r="A10" s="141" t="str">
        <f t="shared" ref="A10:A73" si="0">REPT("0",4-LEN($A$8))&amp;$A$8</f>
        <v>0053</v>
      </c>
      <c r="B10" s="101" t="s">
        <v>53</v>
      </c>
      <c r="C10" s="102">
        <v>2006</v>
      </c>
      <c r="D10" s="60">
        <f>IFERROR(IF(LEN(VLOOKUP($B10&amp;$C10,HeadcountAndScoresTable[],IF(D$7="Count",5,IF(D$7="ACT",6,7)),0))=0,"",VLOOKUP($B10&amp;$C10,HeadcountAndScoresTable[],IF(D$7="Count",5,IF(D$7="ACT",6,7)),0)),"")</f>
        <v>1019</v>
      </c>
      <c r="E10" s="98">
        <f>IFERROR(IF(LEN(VLOOKUP($B10&amp;$C10,HeadcountAndScoresTable[],IF(E$7="Count",5,IF(E$7="ACT",6,7)),0))=0,"",VLOOKUP($B10&amp;$C10,HeadcountAndScoresTable[],IF(E$7="Count",5,IF(E$7="ACT",6,7)),0)),"")</f>
        <v>20.7</v>
      </c>
      <c r="F10" s="103" t="str">
        <f>IFERROR(IF(LEN(VLOOKUP($B10&amp;$C10,HeadcountAndScoresTable[],IF(F$7="Count",5,IF(F$7="ACT",6,7)),0))=0,"",VLOOKUP($B10&amp;$C10,HeadcountAndScoresTable[],IF(F$7="Count",5,IF(F$7="ACT",6,7)),0)),"")</f>
        <v/>
      </c>
      <c r="G10" s="100">
        <f>IFERROR(IF(LEN(VLOOKUP($B10&amp;$C10&amp;$C10+MID(G$7,4,IF(COLUMN()&gt;19,2,1))-IF(LEFT(G$7,2)="to",1,0),RatesTable[],IF(LEFT(G$7,2)="in",6,7),0))=0,"",VLOOKUP($B10&amp;$C10&amp;$C10+MID(G$7,4,IF(COLUMN()&gt;19,2,1))-IF(LEFT(G$7,2)="to",1,0),RatesTable[],IF(LEFT(G$7,2)="in",6,7),0)),"")</f>
        <v>0.63500000000000001</v>
      </c>
      <c r="H10" s="71">
        <f>IFERROR(IF(LEN(VLOOKUP($B10&amp;$C10&amp;$C10+MID(H$7,4,IF(COLUMN()&gt;19,2,1))-IF(LEFT(H$7,2)="to",1,0),RatesTable[],IF(LEFT(H$7,2)="in",6,7),0))=0,"",VLOOKUP($B10&amp;$C10&amp;$C10+MID(H$7,4,IF(COLUMN()&gt;19,2,1))-IF(LEFT(H$7,2)="to",1,0),RatesTable[],IF(LEFT(H$7,2)="in",6,7),0)),"")</f>
        <v>0.48</v>
      </c>
      <c r="I10" s="71">
        <f>IFERROR(IF(LEN(VLOOKUP($B10&amp;$C10&amp;$C10+MID(I$7,4,IF(COLUMN()&gt;19,2,1))-IF(LEFT(I$7,2)="to",1,0),RatesTable[],IF(LEFT(I$7,2)="in",6,7),0))=0,"",VLOOKUP($B10&amp;$C10&amp;$C10+MID(I$7,4,IF(COLUMN()&gt;19,2,1))-IF(LEFT(I$7,2)="to",1,0),RatesTable[],IF(LEFT(I$7,2)="in",6,7),0)),"")</f>
        <v>0.11</v>
      </c>
      <c r="J10" s="71">
        <f>IFERROR(IF(LEN(VLOOKUP($B10&amp;$C10&amp;$C10+MID(J$7,4,IF(COLUMN()&gt;19,2,1))-IF(LEFT(J$7,2)="to",1,0),RatesTable[],IF(LEFT(J$7,2)="in",6,7),0))=0,"",VLOOKUP($B10&amp;$C10&amp;$C10+MID(J$7,4,IF(COLUMN()&gt;19,2,1))-IF(LEFT(J$7,2)="to",1,0),RatesTable[],IF(LEFT(J$7,2)="in",6,7),0)),"")</f>
        <v>0.27400000000000002</v>
      </c>
      <c r="K10" s="71">
        <f>IFERROR(IF(LEN(VLOOKUP($B10&amp;$C10&amp;$C10+MID(K$7,4,IF(COLUMN()&gt;19,2,1))-IF(LEFT(K$7,2)="to",1,0),RatesTable[],IF(LEFT(K$7,2)="in",6,7),0))=0,"",VLOOKUP($B10&amp;$C10&amp;$C10+MID(K$7,4,IF(COLUMN()&gt;19,2,1))-IF(LEFT(K$7,2)="to",1,0),RatesTable[],IF(LEFT(K$7,2)="in",6,7),0)),"")</f>
        <v>0.27900000000000003</v>
      </c>
      <c r="L10" s="71">
        <f>IFERROR(IF(LEN(VLOOKUP($B10&amp;$C10&amp;$C10+MID(L$7,4,IF(COLUMN()&gt;19,2,1))-IF(LEFT(L$7,2)="to",1,0),RatesTable[],IF(LEFT(L$7,2)="in",6,7),0))=0,"",VLOOKUP($B10&amp;$C10&amp;$C10+MID(L$7,4,IF(COLUMN()&gt;19,2,1))-IF(LEFT(L$7,2)="to",1,0),RatesTable[],IF(LEFT(L$7,2)="in",6,7),0)),"")</f>
        <v>8.4000000000000005E-2</v>
      </c>
      <c r="M10" s="71">
        <f>IFERROR(IF(LEN(VLOOKUP($B10&amp;$C10&amp;$C10+MID(M$7,4,IF(COLUMN()&gt;19,2,1))-IF(LEFT(M$7,2)="to",1,0),RatesTable[],IF(LEFT(M$7,2)="in",6,7),0))=0,"",VLOOKUP($B10&amp;$C10&amp;$C10+MID(M$7,4,IF(COLUMN()&gt;19,2,1))-IF(LEFT(M$7,2)="to",1,0),RatesTable[],IF(LEFT(M$7,2)="in",6,7),0)),"")</f>
        <v>0.32300000000000001</v>
      </c>
      <c r="N10" s="71">
        <f>IFERROR(IF(LEN(VLOOKUP($B10&amp;$C10&amp;$C10+MID(N$7,4,IF(COLUMN()&gt;19,2,1))-IF(LEFT(N$7,2)="to",1,0),RatesTable[],IF(LEFT(N$7,2)="in",6,7),0))=0,"",VLOOKUP($B10&amp;$C10&amp;$C10+MID(N$7,4,IF(COLUMN()&gt;19,2,1))-IF(LEFT(N$7,2)="to",1,0),RatesTable[],IF(LEFT(N$7,2)="in",6,7),0)),"")</f>
        <v>2.4E-2</v>
      </c>
      <c r="O10" s="69">
        <f>352/1019</f>
        <v>0.34543670264965654</v>
      </c>
      <c r="P10" s="69">
        <f>IFERROR(IF(LEN(VLOOKUP($B10&amp;$C10&amp;$C10+MID(P$7,4,IF(COLUMN()&gt;19,2,1))-IF(LEFT(P$7,2)="to",1,0),RatesTable[],IF(LEFT(P$7,2)="in",6,7),0))=0,"",VLOOKUP($B10&amp;$C10&amp;$C10+MID(P$7,4,IF(COLUMN()&gt;19,2,1))-IF(LEFT(P$7,2)="to",1,0),RatesTable[],IF(LEFT(P$7,2)="in",6,7),0)),"")</f>
        <v>1.4E-2</v>
      </c>
      <c r="Q10" s="71">
        <f>360/1019</f>
        <v>0.35328753680078506</v>
      </c>
      <c r="R10" s="71">
        <f>14/1019</f>
        <v>1.3738959764474975E-2</v>
      </c>
      <c r="V10" s="84"/>
      <c r="W10" s="210"/>
      <c r="X10" s="224"/>
      <c r="Y10" s="161" t="s">
        <v>159</v>
      </c>
      <c r="AG10" s="76"/>
    </row>
    <row r="11" spans="1:33" ht="15" customHeight="1" x14ac:dyDescent="0.2">
      <c r="A11" s="141" t="str">
        <f t="shared" si="0"/>
        <v>0053</v>
      </c>
      <c r="B11" s="101" t="s">
        <v>53</v>
      </c>
      <c r="C11" s="102">
        <v>2007</v>
      </c>
      <c r="D11" s="60">
        <f>IFERROR(IF(LEN(VLOOKUP($B11&amp;$C11,HeadcountAndScoresTable[],IF(D$7="Count",5,IF(D$7="ACT",6,7)),0))=0,"",VLOOKUP($B11&amp;$C11,HeadcountAndScoresTable[],IF(D$7="Count",5,IF(D$7="ACT",6,7)),0)),"")</f>
        <v>1023</v>
      </c>
      <c r="E11" s="98">
        <f>IFERROR(IF(LEN(VLOOKUP($B11&amp;$C11,HeadcountAndScoresTable[],IF(E$7="Count",5,IF(E$7="ACT",6,7)),0))=0,"",VLOOKUP($B11&amp;$C11,HeadcountAndScoresTable[],IF(E$7="Count",5,IF(E$7="ACT",6,7)),0)),"")</f>
        <v>20.9</v>
      </c>
      <c r="F11" s="103" t="str">
        <f>IFERROR(IF(LEN(VLOOKUP($B11&amp;$C11,HeadcountAndScoresTable[],IF(F$7="Count",5,IF(F$7="ACT",6,7)),0))=0,"",VLOOKUP($B11&amp;$C11,HeadcountAndScoresTable[],IF(F$7="Count",5,IF(F$7="ACT",6,7)),0)),"")</f>
        <v/>
      </c>
      <c r="G11" s="100">
        <f>IFERROR(IF(LEN(VLOOKUP($B11&amp;$C11&amp;$C11+MID(G$7,4,IF(COLUMN()&gt;19,2,1))-IF(LEFT(G$7,2)="to",1,0),RatesTable[],IF(LEFT(G$7,2)="in",6,7),0))=0,"",VLOOKUP($B11&amp;$C11&amp;$C11+MID(G$7,4,IF(COLUMN()&gt;19,2,1))-IF(LEFT(G$7,2)="to",1,0),RatesTable[],IF(LEFT(G$7,2)="in",6,7),0)),"")</f>
        <v>0.63300000000000001</v>
      </c>
      <c r="H11" s="71">
        <f>IFERROR(IF(LEN(VLOOKUP($B11&amp;$C11&amp;$C11+MID(H$7,4,IF(COLUMN()&gt;19,2,1))-IF(LEFT(H$7,2)="to",1,0),RatesTable[],IF(LEFT(H$7,2)="in",6,7),0))=0,"",VLOOKUP($B11&amp;$C11&amp;$C11+MID(H$7,4,IF(COLUMN()&gt;19,2,1))-IF(LEFT(H$7,2)="to",1,0),RatesTable[],IF(LEFT(H$7,2)="in",6,7),0)),"")</f>
        <v>0.47099999999999997</v>
      </c>
      <c r="I11" s="71">
        <f>IFERROR(IF(LEN(VLOOKUP($B11&amp;$C11&amp;$C11+MID(I$7,4,IF(COLUMN()&gt;19,2,1))-IF(LEFT(I$7,2)="to",1,0),RatesTable[],IF(LEFT(I$7,2)="in",6,7),0))=0,"",VLOOKUP($B11&amp;$C11&amp;$C11+MID(I$7,4,IF(COLUMN()&gt;19,2,1))-IF(LEFT(I$7,2)="to",1,0),RatesTable[],IF(LEFT(I$7,2)="in",6,7),0)),"")</f>
        <v>0.123</v>
      </c>
      <c r="J11" s="71">
        <f>IFERROR(IF(LEN(VLOOKUP($B11&amp;$C11&amp;$C11+MID(J$7,4,IF(COLUMN()&gt;19,2,1))-IF(LEFT(J$7,2)="to",1,0),RatesTable[],IF(LEFT(J$7,2)="in",6,7),0))=0,"",VLOOKUP($B11&amp;$C11&amp;$C11+MID(J$7,4,IF(COLUMN()&gt;19,2,1))-IF(LEFT(J$7,2)="to",1,0),RatesTable[],IF(LEFT(J$7,2)="in",6,7),0)),"")</f>
        <v>0.26100000000000001</v>
      </c>
      <c r="K11" s="71">
        <f>IFERROR(IF(LEN(VLOOKUP($B11&amp;$C11&amp;$C11+MID(K$7,4,IF(COLUMN()&gt;19,2,1))-IF(LEFT(K$7,2)="to",1,0),RatesTable[],IF(LEFT(K$7,2)="in",6,7),0))=0,"",VLOOKUP($B11&amp;$C11&amp;$C11+MID(K$7,4,IF(COLUMN()&gt;19,2,1))-IF(LEFT(K$7,2)="to",1,0),RatesTable[],IF(LEFT(K$7,2)="in",6,7),0)),"")</f>
        <v>0.27</v>
      </c>
      <c r="L11" s="71">
        <f>IFERROR(IF(LEN(VLOOKUP($B11&amp;$C11&amp;$C11+MID(L$7,4,IF(COLUMN()&gt;19,2,1))-IF(LEFT(L$7,2)="to",1,0),RatesTable[],IF(LEFT(L$7,2)="in",6,7),0))=0,"",VLOOKUP($B11&amp;$C11&amp;$C11+MID(L$7,4,IF(COLUMN()&gt;19,2,1))-IF(LEFT(L$7,2)="to",1,0),RatesTable[],IF(LEFT(L$7,2)="in",6,7),0)),"")</f>
        <v>6.5000000000000002E-2</v>
      </c>
      <c r="M11" s="69">
        <f>IFERROR(IF(LEN(VLOOKUP($B11&amp;$C11&amp;$C11+MID(M$7,4,IF(COLUMN()&gt;19,2,1))-IF(LEFT(M$7,2)="to",1,0),RatesTable[],IF(LEFT(M$7,2)="in",6,7),0))=0,"",VLOOKUP($B11&amp;$C11&amp;$C11+MID(M$7,4,IF(COLUMN()&gt;19,2,1))-IF(LEFT(M$7,2)="to",1,0),RatesTable[],IF(LEFT(M$7,2)="in",6,7),0)),"")</f>
        <v>0.32200000000000001</v>
      </c>
      <c r="N11" s="69">
        <f>IFERROR(IF(LEN(VLOOKUP($B11&amp;$C11&amp;$C11+MID(N$7,4,IF(COLUMN()&gt;19,2,1))-IF(LEFT(N$7,2)="to",1,0),RatesTable[],IF(LEFT(N$7,2)="in",6,7),0))=0,"",VLOOKUP($B11&amp;$C11&amp;$C11+MID(N$7,4,IF(COLUMN()&gt;19,2,1))-IF(LEFT(N$7,2)="to",1,0),RatesTable[],IF(LEFT(N$7,2)="in",6,7),0)),"")</f>
        <v>4.8000000000000001E-2</v>
      </c>
      <c r="O11" s="71">
        <f>356/1023</f>
        <v>0.34799608993157383</v>
      </c>
      <c r="P11" s="71">
        <f>25/1023</f>
        <v>2.4437927663734114E-2</v>
      </c>
      <c r="V11" s="84"/>
      <c r="W11" s="210"/>
      <c r="X11" s="213"/>
      <c r="Y11" s="161" t="s">
        <v>751</v>
      </c>
      <c r="AG11" s="189"/>
    </row>
    <row r="12" spans="1:33" ht="15" customHeight="1" x14ac:dyDescent="0.2">
      <c r="A12" s="141" t="str">
        <f t="shared" si="0"/>
        <v>0053</v>
      </c>
      <c r="B12" s="101" t="s">
        <v>53</v>
      </c>
      <c r="C12" s="102">
        <v>2008</v>
      </c>
      <c r="D12" s="60">
        <f>IFERROR(IF(LEN(VLOOKUP($B12&amp;$C12,HeadcountAndScoresTable[],IF(D$7="Count",5,IF(D$7="ACT",6,7)),0))=0,"",VLOOKUP($B12&amp;$C12,HeadcountAndScoresTable[],IF(D$7="Count",5,IF(D$7="ACT",6,7)),0)),"")</f>
        <v>988</v>
      </c>
      <c r="E12" s="98">
        <f>IFERROR(IF(LEN(VLOOKUP($B12&amp;$C12,HeadcountAndScoresTable[],IF(E$7="Count",5,IF(E$7="ACT",6,7)),0))=0,"",VLOOKUP($B12&amp;$C12,HeadcountAndScoresTable[],IF(E$7="Count",5,IF(E$7="ACT",6,7)),0)),"")</f>
        <v>21.2</v>
      </c>
      <c r="F12" s="103" t="str">
        <f>IFERROR(IF(LEN(VLOOKUP($B12&amp;$C12,HeadcountAndScoresTable[],IF(F$7="Count",5,IF(F$7="ACT",6,7)),0))=0,"",VLOOKUP($B12&amp;$C12,HeadcountAndScoresTable[],IF(F$7="Count",5,IF(F$7="ACT",6,7)),0)),"")</f>
        <v/>
      </c>
      <c r="G12" s="100">
        <f>IFERROR(IF(LEN(VLOOKUP($B12&amp;$C12&amp;$C12+MID(G$7,4,IF(COLUMN()&gt;19,2,1))-IF(LEFT(G$7,2)="to",1,0),RatesTable[],IF(LEFT(G$7,2)="in",6,7),0))=0,"",VLOOKUP($B12&amp;$C12&amp;$C12+MID(G$7,4,IF(COLUMN()&gt;19,2,1))-IF(LEFT(G$7,2)="to",1,0),RatesTable[],IF(LEFT(G$7,2)="in",6,7),0)),"")</f>
        <v>0.71399999999999997</v>
      </c>
      <c r="H12" s="71">
        <f>IFERROR(IF(LEN(VLOOKUP($B12&amp;$C12&amp;$C12+MID(H$7,4,IF(COLUMN()&gt;19,2,1))-IF(LEFT(H$7,2)="to",1,0),RatesTable[],IF(LEFT(H$7,2)="in",6,7),0))=0,"",VLOOKUP($B12&amp;$C12&amp;$C12+MID(H$7,4,IF(COLUMN()&gt;19,2,1))-IF(LEFT(H$7,2)="to",1,0),RatesTable[],IF(LEFT(H$7,2)="in",6,7),0)),"")</f>
        <v>0.57199999999999995</v>
      </c>
      <c r="I12" s="71">
        <f>IFERROR(IF(LEN(VLOOKUP($B12&amp;$C12&amp;$C12+MID(I$7,4,IF(COLUMN()&gt;19,2,1))-IF(LEFT(I$7,2)="to",1,0),RatesTable[],IF(LEFT(I$7,2)="in",6,7),0))=0,"",VLOOKUP($B12&amp;$C12&amp;$C12+MID(I$7,4,IF(COLUMN()&gt;19,2,1))-IF(LEFT(I$7,2)="to",1,0),RatesTable[],IF(LEFT(I$7,2)="in",6,7),0)),"")</f>
        <v>0.12</v>
      </c>
      <c r="J12" s="71">
        <f>IFERROR(IF(LEN(VLOOKUP($B12&amp;$C12&amp;$C12+MID(J$7,4,IF(COLUMN()&gt;19,2,1))-IF(LEFT(J$7,2)="to",1,0),RatesTable[],IF(LEFT(J$7,2)="in",6,7),0))=0,"",VLOOKUP($B12&amp;$C12&amp;$C12+MID(J$7,4,IF(COLUMN()&gt;19,2,1))-IF(LEFT(J$7,2)="to",1,0),RatesTable[],IF(LEFT(J$7,2)="in",6,7),0)),"")</f>
        <v>0.32700000000000001</v>
      </c>
      <c r="K12" s="69">
        <f>IFERROR(IF(LEN(VLOOKUP($B12&amp;$C12&amp;$C12+MID(K$7,4,IF(COLUMN()&gt;19,2,1))-IF(LEFT(K$7,2)="to",1,0),RatesTable[],IF(LEFT(K$7,2)="in",6,7),0))=0,"",VLOOKUP($B12&amp;$C12&amp;$C12+MID(K$7,4,IF(COLUMN()&gt;19,2,1))-IF(LEFT(K$7,2)="to",1,0),RatesTable[],IF(LEFT(K$7,2)="in",6,7),0)),"")</f>
        <v>0.312</v>
      </c>
      <c r="L12" s="69">
        <f>IFERROR(IF(LEN(VLOOKUP($B12&amp;$C12&amp;$C12+MID(L$7,4,IF(COLUMN()&gt;19,2,1))-IF(LEFT(L$7,2)="to",1,0),RatesTable[],IF(LEFT(L$7,2)="in",6,7),0))=0,"",VLOOKUP($B12&amp;$C12&amp;$C12+MID(L$7,4,IF(COLUMN()&gt;19,2,1))-IF(LEFT(L$7,2)="to",1,0),RatesTable[],IF(LEFT(L$7,2)="in",6,7),0)),"")</f>
        <v>0.124</v>
      </c>
      <c r="M12" s="71">
        <f>384/988</f>
        <v>0.38866396761133604</v>
      </c>
      <c r="N12" s="71">
        <f>56/988</f>
        <v>5.6680161943319839E-2</v>
      </c>
      <c r="O12" s="85"/>
      <c r="P12" s="85"/>
      <c r="V12" s="84"/>
      <c r="W12" s="210"/>
      <c r="X12" s="214"/>
      <c r="Y12" s="161" t="s">
        <v>155</v>
      </c>
      <c r="AG12" s="137"/>
    </row>
    <row r="13" spans="1:33" ht="15" customHeight="1" x14ac:dyDescent="0.2">
      <c r="A13" s="141" t="str">
        <f t="shared" si="0"/>
        <v>0053</v>
      </c>
      <c r="B13" s="101" t="s">
        <v>53</v>
      </c>
      <c r="C13" s="102">
        <v>2009</v>
      </c>
      <c r="D13" s="60">
        <f>IFERROR(IF(LEN(VLOOKUP($B13&amp;$C13,HeadcountAndScoresTable[],IF(D$7="Count",5,IF(D$7="ACT",6,7)),0))=0,"",VLOOKUP($B13&amp;$C13,HeadcountAndScoresTable[],IF(D$7="Count",5,IF(D$7="ACT",6,7)),0)),"")</f>
        <v>1064</v>
      </c>
      <c r="E13" s="98">
        <f>IFERROR(IF(LEN(VLOOKUP($B13&amp;$C13,HeadcountAndScoresTable[],IF(E$7="Count",5,IF(E$7="ACT",6,7)),0))=0,"",VLOOKUP($B13&amp;$C13,HeadcountAndScoresTable[],IF(E$7="Count",5,IF(E$7="ACT",6,7)),0)),"")</f>
        <v>21.1</v>
      </c>
      <c r="F13" s="103" t="str">
        <f>IFERROR(IF(LEN(VLOOKUP($B13&amp;$C13,HeadcountAndScoresTable[],IF(F$7="Count",5,IF(F$7="ACT",6,7)),0))=0,"",VLOOKUP($B13&amp;$C13,HeadcountAndScoresTable[],IF(F$7="Count",5,IF(F$7="ACT",6,7)),0)),"")</f>
        <v/>
      </c>
      <c r="G13" s="100">
        <f>IFERROR(IF(LEN(VLOOKUP($B13&amp;$C13&amp;$C13+MID(G$7,4,IF(COLUMN()&gt;19,2,1))-IF(LEFT(G$7,2)="to",1,0),RatesTable[],IF(LEFT(G$7,2)="in",6,7),0))=0,"",VLOOKUP($B13&amp;$C13&amp;$C13+MID(G$7,4,IF(COLUMN()&gt;19,2,1))-IF(LEFT(G$7,2)="to",1,0),RatesTable[],IF(LEFT(G$7,2)="in",6,7),0)),"")</f>
        <v>0.65200000000000002</v>
      </c>
      <c r="H13" s="71">
        <f>IFERROR(IF(LEN(VLOOKUP($B13&amp;$C13&amp;$C13+MID(H$7,4,IF(COLUMN()&gt;19,2,1))-IF(LEFT(H$7,2)="to",1,0),RatesTable[],IF(LEFT(H$7,2)="in",6,7),0))=0,"",VLOOKUP($B13&amp;$C13&amp;$C13+MID(H$7,4,IF(COLUMN()&gt;19,2,1))-IF(LEFT(H$7,2)="to",1,0),RatesTable[],IF(LEFT(H$7,2)="in",6,7),0)),"")</f>
        <v>0.51100000000000001</v>
      </c>
      <c r="I13" s="69">
        <f>IFERROR(IF(LEN(VLOOKUP($B13&amp;$C13&amp;$C13+MID(I$7,4,IF(COLUMN()&gt;19,2,1))-IF(LEFT(I$7,2)="to",1,0),RatesTable[],IF(LEFT(I$7,2)="in",6,7),0))=0,"",VLOOKUP($B13&amp;$C13&amp;$C13+MID(I$7,4,IF(COLUMN()&gt;19,2,1))-IF(LEFT(I$7,2)="to",1,0),RatesTable[],IF(LEFT(I$7,2)="in",6,7),0)),"")</f>
        <v>0.115</v>
      </c>
      <c r="J13" s="71">
        <f>IFERROR(IF(LEN(VLOOKUP($B13&amp;$C13&amp;$C13+MID(J$7,4,IF(COLUMN()&gt;19,2,1))-IF(LEFT(J$7,2)="to",1,0),RatesTable[],IF(LEFT(J$7,2)="in",6,7),0))=0,"",VLOOKUP($B13&amp;$C13&amp;$C13+MID(J$7,4,IF(COLUMN()&gt;19,2,1))-IF(LEFT(J$7,2)="to",1,0),RatesTable[],IF(LEFT(J$7,2)="in",6,7),0)),"")</f>
        <v>0.308</v>
      </c>
      <c r="K13" s="70">
        <f>321/1064</f>
        <v>0.30169172932330829</v>
      </c>
      <c r="L13" s="70">
        <f>108/1064</f>
        <v>0.10150375939849623</v>
      </c>
      <c r="M13" s="88"/>
      <c r="N13" s="88"/>
      <c r="O13" s="86"/>
      <c r="P13" s="86"/>
      <c r="Q13" s="87"/>
      <c r="R13" s="87"/>
      <c r="V13" s="84"/>
      <c r="W13" s="210"/>
      <c r="X13" s="215"/>
      <c r="Y13" s="161" t="s">
        <v>752</v>
      </c>
      <c r="AG13" s="76"/>
    </row>
    <row r="14" spans="1:33" ht="15" customHeight="1" x14ac:dyDescent="0.2">
      <c r="A14" s="141" t="str">
        <f t="shared" si="0"/>
        <v>0053</v>
      </c>
      <c r="B14" s="101" t="s">
        <v>53</v>
      </c>
      <c r="C14" s="102">
        <v>2010</v>
      </c>
      <c r="D14" s="60">
        <f>IFERROR(IF(LEN(VLOOKUP($B14&amp;$C14,HeadcountAndScoresTable[],IF(D$7="Count",5,IF(D$7="ACT",6,7)),0))=0,"",VLOOKUP($B14&amp;$C14,HeadcountAndScoresTable[],IF(D$7="Count",5,IF(D$7="ACT",6,7)),0)),"")</f>
        <v>961</v>
      </c>
      <c r="E14" s="98">
        <f>IFERROR(IF(LEN(VLOOKUP($B14&amp;$C14,HeadcountAndScoresTable[],IF(E$7="Count",5,IF(E$7="ACT",6,7)),0))=0,"",VLOOKUP($B14&amp;$C14,HeadcountAndScoresTable[],IF(E$7="Count",5,IF(E$7="ACT",6,7)),0)),"")</f>
        <v>21.8</v>
      </c>
      <c r="F14" s="103" t="str">
        <f>IFERROR(IF(LEN(VLOOKUP($B14&amp;$C14,HeadcountAndScoresTable[],IF(F$7="Count",5,IF(F$7="ACT",6,7)),0))=0,"",VLOOKUP($B14&amp;$C14,HeadcountAndScoresTable[],IF(F$7="Count",5,IF(F$7="ACT",6,7)),0)),"")</f>
        <v/>
      </c>
      <c r="G14" s="100">
        <f>IFERROR(IF(LEN(VLOOKUP($B14&amp;$C14&amp;$C14+MID(G$7,4,IF(COLUMN()&gt;19,2,1))-IF(LEFT(G$7,2)="to",1,0),RatesTable[],IF(LEFT(G$7,2)="in",6,7),0))=0,"",VLOOKUP($B14&amp;$C14&amp;$C14+MID(G$7,4,IF(COLUMN()&gt;19,2,1))-IF(LEFT(G$7,2)="to",1,0),RatesTable[],IF(LEFT(G$7,2)="in",6,7),0)),"")</f>
        <v>0.70899999999999996</v>
      </c>
      <c r="H14" s="70">
        <f>IFERROR(IF(LEN(VLOOKUP($B14&amp;$C14&amp;$C14+MID(H$7,4,IF(COLUMN()&gt;19,2,1))-IF(LEFT(H$7,2)="to",1,0),RatesTable[],IF(LEFT(H$7,2)="in",6,7),0))=0,"",VLOOKUP($B14&amp;$C14&amp;$C14+MID(H$7,4,IF(COLUMN()&gt;19,2,1))-IF(LEFT(H$7,2)="to",1,0),RatesTable[],IF(LEFT(H$7,2)="in",6,7),0)),"")</f>
        <v>0.56999999999999995</v>
      </c>
      <c r="I14" s="70">
        <f>152/961</f>
        <v>0.15816857440166493</v>
      </c>
      <c r="J14" s="71">
        <f>305/961</f>
        <v>0.31737773152965659</v>
      </c>
      <c r="K14" s="88"/>
      <c r="L14" s="88"/>
      <c r="M14" s="88"/>
      <c r="N14" s="88"/>
      <c r="O14" s="86"/>
      <c r="P14" s="86"/>
      <c r="Q14" s="87"/>
      <c r="R14" s="87"/>
      <c r="V14" s="84"/>
      <c r="W14" s="210"/>
      <c r="X14" s="222"/>
      <c r="Y14" s="161" t="s">
        <v>156</v>
      </c>
      <c r="AG14" s="76"/>
    </row>
    <row r="15" spans="1:33" ht="15" customHeight="1" x14ac:dyDescent="0.2">
      <c r="A15" s="141" t="str">
        <f t="shared" si="0"/>
        <v>0053</v>
      </c>
      <c r="B15" s="101" t="s">
        <v>53</v>
      </c>
      <c r="C15" s="102">
        <v>2011</v>
      </c>
      <c r="D15" s="60">
        <f>IFERROR(IF(LEN(VLOOKUP($B15&amp;$C15,HeadcountAndScoresTable[],IF(D$7="Count",5,IF(D$7="ACT",6,7)),0))=0,"",VLOOKUP($B15&amp;$C15,HeadcountAndScoresTable[],IF(D$7="Count",5,IF(D$7="ACT",6,7)),0)),"")</f>
        <v>916</v>
      </c>
      <c r="E15" s="98">
        <f>IFERROR(IF(LEN(VLOOKUP($B15&amp;$C15,HeadcountAndScoresTable[],IF(E$7="Count",5,IF(E$7="ACT",6,7)),0))=0,"",VLOOKUP($B15&amp;$C15,HeadcountAndScoresTable[],IF(E$7="Count",5,IF(E$7="ACT",6,7)),0)),"")</f>
        <v>21.6</v>
      </c>
      <c r="F15" s="103" t="str">
        <f>IFERROR(IF(LEN(VLOOKUP($B15&amp;$C15,HeadcountAndScoresTable[],IF(F$7="Count",5,IF(F$7="ACT",6,7)),0))=0,"",VLOOKUP($B15&amp;$C15,HeadcountAndScoresTable[],IF(F$7="Count",5,IF(F$7="ACT",6,7)),0)),"")</f>
        <v/>
      </c>
      <c r="G15" s="100">
        <f>IFERROR(IF(LEN(VLOOKUP($B15&amp;$C15&amp;$C15+MID(G$7,4,IF(COLUMN()&gt;19,2,1))-IF(LEFT(G$7,2)="to",1,0),RatesTable[],IF(LEFT(G$7,2)="in",6,7),0))=0,"",VLOOKUP($B15&amp;$C15&amp;$C15+MID(G$7,4,IF(COLUMN()&gt;19,2,1))-IF(LEFT(G$7,2)="to",1,0),RatesTable[],IF(LEFT(G$7,2)="in",6,7),0)),"")</f>
        <v>0.68700000000000006</v>
      </c>
      <c r="H15" s="63">
        <f>IFERROR(IF(LEN(VLOOKUP($B15&amp;$C15&amp;$C15+MID(H$7,4,IF(COLUMN()&gt;19,2,1))-IF(LEFT(H$7,2)="to",1,0),RatesTable[],IF(LEFT(H$7,2)="in",6,7),0))=0,"",VLOOKUP($B15&amp;$C15&amp;$C15+MID(H$7,4,IF(COLUMN()&gt;19,2,1))-IF(LEFT(H$7,2)="to",1,0),RatesTable[],IF(LEFT(H$7,2)="in",6,7),0)),"")</f>
        <v>0.56200000000000006</v>
      </c>
      <c r="I15" s="88"/>
      <c r="J15" s="88"/>
      <c r="K15" s="88"/>
      <c r="L15" s="88"/>
      <c r="M15" s="88"/>
      <c r="N15" s="88"/>
      <c r="O15" s="86"/>
      <c r="P15" s="86"/>
      <c r="Q15" s="87"/>
      <c r="R15" s="87"/>
      <c r="V15" s="84"/>
      <c r="W15" s="210"/>
      <c r="X15" s="216"/>
      <c r="Y15" s="161" t="s">
        <v>904</v>
      </c>
      <c r="AG15" s="76"/>
    </row>
    <row r="16" spans="1:33" s="16" customFormat="1" ht="15" customHeight="1" x14ac:dyDescent="0.2">
      <c r="A16" s="141" t="str">
        <f t="shared" si="0"/>
        <v>0053</v>
      </c>
      <c r="B16" s="101" t="s">
        <v>53</v>
      </c>
      <c r="C16" s="102">
        <v>2012</v>
      </c>
      <c r="D16" s="60">
        <f>IFERROR(IF(LEN(VLOOKUP($B16&amp;$C16,HeadcountAndScoresTable[],IF(D$7="Count",5,IF(D$7="ACT",6,7)),0))=0,"",VLOOKUP($B16&amp;$C16,HeadcountAndScoresTable[],IF(D$7="Count",5,IF(D$7="ACT",6,7)),0)),"")</f>
        <v>1051</v>
      </c>
      <c r="E16" s="98">
        <f>IFERROR(IF(LEN(VLOOKUP($B16&amp;$C16,HeadcountAndScoresTable[],IF(E$7="Count",5,IF(E$7="ACT",6,7)),0))=0,"",VLOOKUP($B16&amp;$C16,HeadcountAndScoresTable[],IF(E$7="Count",5,IF(E$7="ACT",6,7)),0)),"")</f>
        <v>21.5</v>
      </c>
      <c r="F16" s="103" t="str">
        <f>IFERROR(IF(LEN(VLOOKUP($B16&amp;$C16,HeadcountAndScoresTable[],IF(F$7="Count",5,IF(F$7="ACT",6,7)),0))=0,"",VLOOKUP($B16&amp;$C16,HeadcountAndScoresTable[],IF(F$7="Count",5,IF(F$7="ACT",6,7)),0)),"")</f>
        <v/>
      </c>
      <c r="G16" s="100">
        <f>IFERROR(IF(LEN(VLOOKUP($B16&amp;$C16&amp;$C16+MID(G$7,4,IF(COLUMN()&gt;19,2,1))-IF(LEFT(G$7,2)="to",1,0),RatesTable[],IF(LEFT(G$7,2)="in",6,7),0))=0,"",VLOOKUP($B16&amp;$C16&amp;$C16+MID(G$7,4,IF(COLUMN()&gt;19,2,1))-IF(LEFT(G$7,2)="to",1,0),RatesTable[],IF(LEFT(G$7,2)="in",6,7),0)),"")</f>
        <v>0.70799999999999996</v>
      </c>
      <c r="H16" s="70">
        <f>632/1051</f>
        <v>0.60133206470028544</v>
      </c>
      <c r="I16" s="88"/>
      <c r="J16" s="88"/>
      <c r="K16" s="88"/>
      <c r="L16" s="88"/>
      <c r="M16" s="88"/>
      <c r="N16" s="88"/>
      <c r="O16" s="86"/>
      <c r="P16" s="86"/>
      <c r="Q16" s="87"/>
      <c r="R16" s="87"/>
      <c r="S16" s="84"/>
      <c r="T16" s="84"/>
      <c r="U16" s="84"/>
      <c r="V16" s="84"/>
      <c r="W16" s="210"/>
      <c r="X16" s="217"/>
      <c r="Y16" s="162" t="s">
        <v>160</v>
      </c>
      <c r="AG16" s="137"/>
    </row>
    <row r="17" spans="1:33" ht="15" customHeight="1" thickBot="1" x14ac:dyDescent="0.25">
      <c r="A17" s="141" t="str">
        <f t="shared" si="0"/>
        <v>0053</v>
      </c>
      <c r="B17" s="114" t="s">
        <v>53</v>
      </c>
      <c r="C17" s="115">
        <v>2013</v>
      </c>
      <c r="D17" s="126">
        <v>953</v>
      </c>
      <c r="E17" s="116">
        <v>21.9</v>
      </c>
      <c r="F17" s="127" t="str">
        <f>IFERROR(IF(LEN(VLOOKUP($B17&amp;$C17,HeadcountAndScoresTable[],IF(F$7="Count",5,IF(F$7="ACT",6,7)),0))=0,"",VLOOKUP($B17&amp;$C17,HeadcountAndScoresTable[],IF(F$7="Count",5,IF(F$7="ACT",6,7)),0)),"")</f>
        <v/>
      </c>
      <c r="G17" s="118">
        <f>689/953</f>
        <v>0.72298006295907657</v>
      </c>
      <c r="H17" s="119"/>
      <c r="I17" s="119"/>
      <c r="J17" s="119"/>
      <c r="K17" s="119"/>
      <c r="L17" s="119"/>
      <c r="M17" s="119"/>
      <c r="N17" s="119"/>
      <c r="O17" s="120"/>
      <c r="P17" s="120"/>
      <c r="Q17" s="121"/>
      <c r="R17" s="121"/>
      <c r="S17" s="122"/>
      <c r="T17" s="122"/>
      <c r="U17" s="122"/>
      <c r="V17" s="122"/>
      <c r="W17" s="211"/>
      <c r="X17" s="231"/>
      <c r="Y17" s="161" t="s">
        <v>157</v>
      </c>
      <c r="AG17" s="200"/>
    </row>
    <row r="18" spans="1:33" ht="15" customHeight="1" x14ac:dyDescent="0.2">
      <c r="A18" s="141" t="str">
        <f t="shared" si="0"/>
        <v>0053</v>
      </c>
      <c r="B18" s="128" t="s">
        <v>57</v>
      </c>
      <c r="C18" s="110">
        <v>2004</v>
      </c>
      <c r="D18" s="111">
        <f>IFERROR(IF(LEN(VLOOKUP($B18&amp;$C18,HeadcountAndScoresTable[],IF(D$7="Count",5,IF(D$7="ACT",6,7)),0))=0,"",VLOOKUP($B18&amp;$C18,HeadcountAndScoresTable[],IF(D$7="Count",5,IF(D$7="ACT",6,7)),0)),"")</f>
        <v>469</v>
      </c>
      <c r="E18" s="112">
        <f>IFERROR(IF(LEN(VLOOKUP($B18&amp;$C18,HeadcountAndScoresTable[],IF(E$7="Count",5,IF(E$7="ACT",6,7)),0))=0,"",VLOOKUP($B18&amp;$C18,HeadcountAndScoresTable[],IF(E$7="Count",5,IF(E$7="ACT",6,7)),0)),"")</f>
        <v>21.1</v>
      </c>
      <c r="F18" s="129" t="str">
        <f>IFERROR(IF(LEN(VLOOKUP($B18&amp;$C18,HeadcountAndScoresTable[],IF(F$7="Count",5,IF(F$7="ACT",6,7)),0))=0,"",VLOOKUP($B18&amp;$C18,HeadcountAndScoresTable[],IF(F$7="Count",5,IF(F$7="ACT",6,7)),0)),"")</f>
        <v/>
      </c>
      <c r="G18" s="113">
        <f>IFERROR(IF(LEN(VLOOKUP($B18&amp;$C18&amp;$C18+MID(G$7,4,IF(COLUMN()&gt;19,2,1))-IF(LEFT(G$7,2)="to",1,0),RatesTable[],IF(LEFT(G$7,2)="in",6,7),0))=0,"",VLOOKUP($B18&amp;$C18&amp;$C18+MID(G$7,4,IF(COLUMN()&gt;19,2,1))-IF(LEFT(G$7,2)="to",1,0),RatesTable[],IF(LEFT(G$7,2)="in",6,7),0)),"")</f>
        <v>0.72899999999999998</v>
      </c>
      <c r="H18" s="72">
        <f>IFERROR(IF(LEN(VLOOKUP($B18&amp;$C18&amp;$C18+MID(H$7,4,IF(COLUMN()&gt;19,2,1))-IF(LEFT(H$7,2)="to",1,0),RatesTable[],IF(LEFT(H$7,2)="in",6,7),0))=0,"",VLOOKUP($B18&amp;$C18&amp;$C18+MID(H$7,4,IF(COLUMN()&gt;19,2,1))-IF(LEFT(H$7,2)="to",1,0),RatesTable[],IF(LEFT(H$7,2)="in",6,7),0)),"")</f>
        <v>0.53500000000000003</v>
      </c>
      <c r="I18" s="72">
        <f>IFERROR(IF(LEN(VLOOKUP($B18&amp;$C18&amp;$C18+MID(I$7,4,IF(COLUMN()&gt;19,2,1))-IF(LEFT(I$7,2)="to",1,0),RatesTable[],IF(LEFT(I$7,2)="in",6,7),0))=0,"",VLOOKUP($B18&amp;$C18&amp;$C18+MID(I$7,4,IF(COLUMN()&gt;19,2,1))-IF(LEFT(I$7,2)="to",1,0),RatesTable[],IF(LEFT(I$7,2)="in",6,7),0)),"")</f>
        <v>0.17100000000000001</v>
      </c>
      <c r="J18" s="72">
        <f>IFERROR(IF(LEN(VLOOKUP($B18&amp;$C18&amp;$C18+MID(J$7,4,IF(COLUMN()&gt;19,2,1))-IF(LEFT(J$7,2)="to",1,0),RatesTable[],IF(LEFT(J$7,2)="in",6,7),0))=0,"",VLOOKUP($B18&amp;$C18&amp;$C18+MID(J$7,4,IF(COLUMN()&gt;19,2,1))-IF(LEFT(J$7,2)="to",1,0),RatesTable[],IF(LEFT(J$7,2)="in",6,7),0)),"")</f>
        <v>0.26900000000000002</v>
      </c>
      <c r="K18" s="72">
        <f>IFERROR(IF(LEN(VLOOKUP($B18&amp;$C18&amp;$C18+MID(K$7,4,IF(COLUMN()&gt;19,2,1))-IF(LEFT(K$7,2)="to",1,0),RatesTable[],IF(LEFT(K$7,2)="in",6,7),0))=0,"",VLOOKUP($B18&amp;$C18&amp;$C18+MID(K$7,4,IF(COLUMN()&gt;19,2,1))-IF(LEFT(K$7,2)="to",1,0),RatesTable[],IF(LEFT(K$7,2)="in",6,7),0)),"")</f>
        <v>0.36</v>
      </c>
      <c r="L18" s="72">
        <f>IFERROR(IF(LEN(VLOOKUP($B18&amp;$C18&amp;$C18+MID(L$7,4,IF(COLUMN()&gt;19,2,1))-IF(LEFT(L$7,2)="to",1,0),RatesTable[],IF(LEFT(L$7,2)="in",6,7),0))=0,"",VLOOKUP($B18&amp;$C18&amp;$C18+MID(L$7,4,IF(COLUMN()&gt;19,2,1))-IF(LEFT(L$7,2)="to",1,0),RatesTable[],IF(LEFT(L$7,2)="in",6,7),0)),"")</f>
        <v>7.1999999999999995E-2</v>
      </c>
      <c r="M18" s="68">
        <f>IFERROR(IF(LEN(VLOOKUP($B18&amp;$C18&amp;$C18+MID(M$7,4,IF(COLUMN()&gt;19,2,1))-IF(LEFT(M$7,2)="to",1,0),RatesTable[],IF(LEFT(M$7,2)="in",6,7),0))=0,"",VLOOKUP($B18&amp;$C18&amp;$C18+MID(M$7,4,IF(COLUMN()&gt;19,2,1))-IF(LEFT(M$7,2)="to",1,0),RatesTable[],IF(LEFT(M$7,2)="in",6,7),0)),"")</f>
        <v>0.40500000000000003</v>
      </c>
      <c r="N18" s="68">
        <f>IFERROR(IF(LEN(VLOOKUP($B18&amp;$C18&amp;$C18+MID(N$7,4,IF(COLUMN()&gt;19,2,1))-IF(LEFT(N$7,2)="to",1,0),RatesTable[],IF(LEFT(N$7,2)="in",6,7),0))=0,"",VLOOKUP($B18&amp;$C18&amp;$C18+MID(N$7,4,IF(COLUMN()&gt;19,2,1))-IF(LEFT(N$7,2)="to",1,0),RatesTable[],IF(LEFT(N$7,2)="in",6,7),0)),"")</f>
        <v>2.8000000000000001E-2</v>
      </c>
      <c r="O18" s="68">
        <f>IFERROR(IF(LEN(VLOOKUP($B18&amp;$C18&amp;$C18+MID(O$7,4,IF(COLUMN()&gt;19,2,1))-IF(LEFT(O$7,2)="to",1,0),RatesTable[],IF(LEFT(O$7,2)="in",6,7),0))=0,"",VLOOKUP($B18&amp;$C18&amp;$C18+MID(O$7,4,IF(COLUMN()&gt;19,2,1))-IF(LEFT(O$7,2)="to",1,0),RatesTable[],IF(LEFT(O$7,2)="in",6,7),0)),"")</f>
        <v>0.42</v>
      </c>
      <c r="P18" s="68">
        <f>IFERROR(IF(LEN(VLOOKUP($B18&amp;$C18&amp;$C18+MID(P$7,4,IF(COLUMN()&gt;19,2,1))-IF(LEFT(P$7,2)="to",1,0),RatesTable[],IF(LEFT(P$7,2)="in",6,7),0))=0,"",VLOOKUP($B18&amp;$C18&amp;$C18+MID(P$7,4,IF(COLUMN()&gt;19,2,1))-IF(LEFT(P$7,2)="to",1,0),RatesTable[],IF(LEFT(P$7,2)="in",6,7),0)),"")</f>
        <v>1.7000000000000001E-2</v>
      </c>
      <c r="Q18" s="68">
        <f>IFERROR(IF(LEN(VLOOKUP($B18&amp;$C18&amp;$C18+MID(Q$7,4,IF(COLUMN()&gt;19,2,1))-IF(LEFT(Q$7,2)="to",1,0),RatesTable[],IF(LEFT(Q$7,2)="in",6,7),0))=0,"",VLOOKUP($B18&amp;$C18&amp;$C18+MID(Q$7,4,IF(COLUMN()&gt;19,2,1))-IF(LEFT(Q$7,2)="to",1,0),RatesTable[],IF(LEFT(Q$7,2)="in",6,7),0)),"")</f>
        <v>0.42899999999999999</v>
      </c>
      <c r="R18" s="68">
        <f>IFERROR(IF(LEN(VLOOKUP($B18&amp;$C18&amp;$C18+MID(R$7,4,IF(COLUMN()&gt;19,2,1))-IF(LEFT(R$7,2)="to",1,0),RatesTable[],IF(LEFT(R$7,2)="in",6,7),0))=0,"",VLOOKUP($B18&amp;$C18&amp;$C18+MID(R$7,4,IF(COLUMN()&gt;19,2,1))-IF(LEFT(R$7,2)="to",1,0),RatesTable[],IF(LEFT(R$7,2)="in",6,7),0)),"")</f>
        <v>8.9999999999999993E-3</v>
      </c>
      <c r="S18" s="68">
        <f>IFERROR(IF(LEN(VLOOKUP($B18&amp;$C18&amp;$C18+MID(S$7,4,IF(COLUMN()&gt;19,2,1))-IF(LEFT(S$7,2)="to",1,0),RatesTable[],IF(LEFT(S$7,2)="in",6,7),0))=0,"",VLOOKUP($B18&amp;$C18&amp;$C18+MID(S$7,4,IF(COLUMN()&gt;19,2,1))-IF(LEFT(S$7,2)="to",1,0),RatesTable[],IF(LEFT(S$7,2)="in",6,7),0)),"")</f>
        <v>0.43099999999999999</v>
      </c>
      <c r="T18" s="68">
        <f>IFERROR(IF(LEN(VLOOKUP($B18&amp;$C18&amp;$C18+MID(T$7,4,IF(COLUMN()&gt;19,2,1))-IF(LEFT(T$7,2)="to",1,0),RatesTable[],IF(LEFT(T$7,2)="in",6,7),0))=0,"",VLOOKUP($B18&amp;$C18&amp;$C18+MID(T$7,4,IF(COLUMN()&gt;19,2,1))-IF(LEFT(T$7,2)="to",1,0),RatesTable[],IF(LEFT(T$7,2)="in",6,7),0)),"")</f>
        <v>1.2999999999999999E-2</v>
      </c>
      <c r="U18" s="72">
        <f>204/469</f>
        <v>0.43496801705756932</v>
      </c>
      <c r="V18" s="130">
        <f>2/469</f>
        <v>4.2643923240938165E-3</v>
      </c>
      <c r="W18" s="84"/>
      <c r="AG18" s="76"/>
    </row>
    <row r="19" spans="1:33" ht="15" customHeight="1" x14ac:dyDescent="0.2">
      <c r="A19" s="141" t="str">
        <f t="shared" si="0"/>
        <v>0053</v>
      </c>
      <c r="B19" s="101" t="s">
        <v>57</v>
      </c>
      <c r="C19" s="102">
        <v>2005</v>
      </c>
      <c r="D19" s="60">
        <f>IFERROR(IF(LEN(VLOOKUP($B19&amp;$C19,HeadcountAndScoresTable[],IF(D$7="Count",5,IF(D$7="ACT",6,7)),0))=0,"",VLOOKUP($B19&amp;$C19,HeadcountAndScoresTable[],IF(D$7="Count",5,IF(D$7="ACT",6,7)),0)),"")</f>
        <v>526</v>
      </c>
      <c r="E19" s="98">
        <f>IFERROR(IF(LEN(VLOOKUP($B19&amp;$C19,HeadcountAndScoresTable[],IF(E$7="Count",5,IF(E$7="ACT",6,7)),0))=0,"",VLOOKUP($B19&amp;$C19,HeadcountAndScoresTable[],IF(E$7="Count",5,IF(E$7="ACT",6,7)),0)),"")</f>
        <v>20.8</v>
      </c>
      <c r="F19" s="99" t="str">
        <f>IFERROR(IF(LEN(VLOOKUP($B19&amp;$C19,HeadcountAndScoresTable[],IF(F$7="Count",5,IF(F$7="ACT",6,7)),0))=0,"",VLOOKUP($B19&amp;$C19,HeadcountAndScoresTable[],IF(F$7="Count",5,IF(F$7="ACT",6,7)),0)),"")</f>
        <v/>
      </c>
      <c r="G19" s="100">
        <f>IFERROR(IF(LEN(VLOOKUP($B19&amp;$C19&amp;$C19+MID(G$7,4,IF(COLUMN()&gt;19,2,1))-IF(LEFT(G$7,2)="to",1,0),RatesTable[],IF(LEFT(G$7,2)="in",6,7),0))=0,"",VLOOKUP($B19&amp;$C19&amp;$C19+MID(G$7,4,IF(COLUMN()&gt;19,2,1))-IF(LEFT(G$7,2)="to",1,0),RatesTable[],IF(LEFT(G$7,2)="in",6,7),0)),"")</f>
        <v>0.72799999999999998</v>
      </c>
      <c r="H19" s="71">
        <f>IFERROR(IF(LEN(VLOOKUP($B19&amp;$C19&amp;$C19+MID(H$7,4,IF(COLUMN()&gt;19,2,1))-IF(LEFT(H$7,2)="to",1,0),RatesTable[],IF(LEFT(H$7,2)="in",6,7),0))=0,"",VLOOKUP($B19&amp;$C19&amp;$C19+MID(H$7,4,IF(COLUMN()&gt;19,2,1))-IF(LEFT(H$7,2)="to",1,0),RatesTable[],IF(LEFT(H$7,2)="in",6,7),0)),"")</f>
        <v>0.54</v>
      </c>
      <c r="I19" s="71">
        <f>IFERROR(IF(LEN(VLOOKUP($B19&amp;$C19&amp;$C19+MID(I$7,4,IF(COLUMN()&gt;19,2,1))-IF(LEFT(I$7,2)="to",1,0),RatesTable[],IF(LEFT(I$7,2)="in",6,7),0))=0,"",VLOOKUP($B19&amp;$C19&amp;$C19+MID(I$7,4,IF(COLUMN()&gt;19,2,1))-IF(LEFT(I$7,2)="to",1,0),RatesTable[],IF(LEFT(I$7,2)="in",6,7),0)),"")</f>
        <v>0.13700000000000001</v>
      </c>
      <c r="J19" s="71">
        <f>IFERROR(IF(LEN(VLOOKUP($B19&amp;$C19&amp;$C19+MID(J$7,4,IF(COLUMN()&gt;19,2,1))-IF(LEFT(J$7,2)="to",1,0),RatesTable[],IF(LEFT(J$7,2)="in",6,7),0))=0,"",VLOOKUP($B19&amp;$C19&amp;$C19+MID(J$7,4,IF(COLUMN()&gt;19,2,1))-IF(LEFT(J$7,2)="to",1,0),RatesTable[],IF(LEFT(J$7,2)="in",6,7),0)),"")</f>
        <v>0.28499999999999998</v>
      </c>
      <c r="K19" s="71">
        <f>IFERROR(IF(LEN(VLOOKUP($B19&amp;$C19&amp;$C19+MID(K$7,4,IF(COLUMN()&gt;19,2,1))-IF(LEFT(K$7,2)="to",1,0),RatesTable[],IF(LEFT(K$7,2)="in",6,7),0))=0,"",VLOOKUP($B19&amp;$C19&amp;$C19+MID(K$7,4,IF(COLUMN()&gt;19,2,1))-IF(LEFT(K$7,2)="to",1,0),RatesTable[],IF(LEFT(K$7,2)="in",6,7),0)),"")</f>
        <v>0.32100000000000001</v>
      </c>
      <c r="L19" s="71">
        <f>IFERROR(IF(LEN(VLOOKUP($B19&amp;$C19&amp;$C19+MID(L$7,4,IF(COLUMN()&gt;19,2,1))-IF(LEFT(L$7,2)="to",1,0),RatesTable[],IF(LEFT(L$7,2)="in",6,7),0))=0,"",VLOOKUP($B19&amp;$C19&amp;$C19+MID(L$7,4,IF(COLUMN()&gt;19,2,1))-IF(LEFT(L$7,2)="to",1,0),RatesTable[],IF(LEFT(L$7,2)="in",6,7),0)),"")</f>
        <v>9.0999999999999998E-2</v>
      </c>
      <c r="M19" s="69">
        <f>IFERROR(IF(LEN(VLOOKUP($B19&amp;$C19&amp;$C19+MID(M$7,4,IF(COLUMN()&gt;19,2,1))-IF(LEFT(M$7,2)="to",1,0),RatesTable[],IF(LEFT(M$7,2)="in",6,7),0))=0,"",VLOOKUP($B19&amp;$C19&amp;$C19+MID(M$7,4,IF(COLUMN()&gt;19,2,1))-IF(LEFT(M$7,2)="to",1,0),RatesTable[],IF(LEFT(M$7,2)="in",6,7),0)),"")</f>
        <v>0.38400000000000001</v>
      </c>
      <c r="N19" s="69">
        <f>IFERROR(IF(LEN(VLOOKUP($B19&amp;$C19&amp;$C19+MID(N$7,4,IF(COLUMN()&gt;19,2,1))-IF(LEFT(N$7,2)="to",1,0),RatesTable[],IF(LEFT(N$7,2)="in",6,7),0))=0,"",VLOOKUP($B19&amp;$C19&amp;$C19+MID(N$7,4,IF(COLUMN()&gt;19,2,1))-IF(LEFT(N$7,2)="to",1,0),RatesTable[],IF(LEFT(N$7,2)="in",6,7),0)),"")</f>
        <v>3.2000000000000001E-2</v>
      </c>
      <c r="O19" s="69">
        <f>IFERROR(IF(LEN(VLOOKUP($B19&amp;$C19&amp;$C19+MID(O$7,4,IF(COLUMN()&gt;19,2,1))-IF(LEFT(O$7,2)="to",1,0),RatesTable[],IF(LEFT(O$7,2)="in",6,7),0))=0,"",VLOOKUP($B19&amp;$C19&amp;$C19+MID(O$7,4,IF(COLUMN()&gt;19,2,1))-IF(LEFT(O$7,2)="to",1,0),RatesTable[],IF(LEFT(O$7,2)="in",6,7),0)),"")</f>
        <v>0.40300000000000002</v>
      </c>
      <c r="P19" s="69">
        <f>IFERROR(IF(LEN(VLOOKUP($B19&amp;$C19&amp;$C19+MID(P$7,4,IF(COLUMN()&gt;19,2,1))-IF(LEFT(P$7,2)="to",1,0),RatesTable[],IF(LEFT(P$7,2)="in",6,7),0))=0,"",VLOOKUP($B19&amp;$C19&amp;$C19+MID(P$7,4,IF(COLUMN()&gt;19,2,1))-IF(LEFT(P$7,2)="to",1,0),RatesTable[],IF(LEFT(P$7,2)="in",6,7),0)),"")</f>
        <v>1.2999999999999999E-2</v>
      </c>
      <c r="Q19" s="64">
        <f>IFERROR(IF(LEN(VLOOKUP($B19&amp;$C19&amp;$C19+MID(Q$7,4,IF(COLUMN()&gt;19,2,1))-IF(LEFT(Q$7,2)="to",1,0),RatesTable[],IF(LEFT(Q$7,2)="in",6,7),0))=0,"",VLOOKUP($B19&amp;$C19&amp;$C19+MID(Q$7,4,IF(COLUMN()&gt;19,2,1))-IF(LEFT(Q$7,2)="to",1,0),RatesTable[],IF(LEFT(Q$7,2)="in",6,7),0)),"")</f>
        <v>0.41099999999999998</v>
      </c>
      <c r="R19" s="64">
        <f>IFERROR(IF(LEN(VLOOKUP($B19&amp;$C19&amp;$C19+MID(R$7,4,IF(COLUMN()&gt;19,2,1))-IF(LEFT(R$7,2)="to",1,0),RatesTable[],IF(LEFT(R$7,2)="in",6,7),0))=0,"",VLOOKUP($B19&amp;$C19&amp;$C19+MID(R$7,4,IF(COLUMN()&gt;19,2,1))-IF(LEFT(R$7,2)="to",1,0),RatesTable[],IF(LEFT(R$7,2)="in",6,7),0)),"")</f>
        <v>0.01</v>
      </c>
      <c r="S19" s="71">
        <f>216/526</f>
        <v>0.41064638783269963</v>
      </c>
      <c r="T19" s="71">
        <f>5/526</f>
        <v>9.5057034220532317E-3</v>
      </c>
      <c r="V19" s="84"/>
      <c r="W19" s="221"/>
      <c r="X19" s="208"/>
    </row>
    <row r="20" spans="1:33" ht="15" customHeight="1" x14ac:dyDescent="0.2">
      <c r="A20" s="141" t="str">
        <f t="shared" si="0"/>
        <v>0053</v>
      </c>
      <c r="B20" s="101" t="s">
        <v>57</v>
      </c>
      <c r="C20" s="102">
        <v>2006</v>
      </c>
      <c r="D20" s="60">
        <f>IFERROR(IF(LEN(VLOOKUP($B20&amp;$C20,HeadcountAndScoresTable[],IF(D$7="Count",5,IF(D$7="ACT",6,7)),0))=0,"",VLOOKUP($B20&amp;$C20,HeadcountAndScoresTable[],IF(D$7="Count",5,IF(D$7="ACT",6,7)),0)),"")</f>
        <v>575</v>
      </c>
      <c r="E20" s="98">
        <f>IFERROR(IF(LEN(VLOOKUP($B20&amp;$C20,HeadcountAndScoresTable[],IF(E$7="Count",5,IF(E$7="ACT",6,7)),0))=0,"",VLOOKUP($B20&amp;$C20,HeadcountAndScoresTable[],IF(E$7="Count",5,IF(E$7="ACT",6,7)),0)),"")</f>
        <v>21.1</v>
      </c>
      <c r="F20" s="99" t="str">
        <f>IFERROR(IF(LEN(VLOOKUP($B20&amp;$C20,HeadcountAndScoresTable[],IF(F$7="Count",5,IF(F$7="ACT",6,7)),0))=0,"",VLOOKUP($B20&amp;$C20,HeadcountAndScoresTable[],IF(F$7="Count",5,IF(F$7="ACT",6,7)),0)),"")</f>
        <v/>
      </c>
      <c r="G20" s="100">
        <f>IFERROR(IF(LEN(VLOOKUP($B20&amp;$C20&amp;$C20+MID(G$7,4,IF(COLUMN()&gt;19,2,1))-IF(LEFT(G$7,2)="to",1,0),RatesTable[],IF(LEFT(G$7,2)="in",6,7),0))=0,"",VLOOKUP($B20&amp;$C20&amp;$C20+MID(G$7,4,IF(COLUMN()&gt;19,2,1))-IF(LEFT(G$7,2)="to",1,0),RatesTable[],IF(LEFT(G$7,2)="in",6,7),0)),"")</f>
        <v>0.70099999999999996</v>
      </c>
      <c r="H20" s="71">
        <f>IFERROR(IF(LEN(VLOOKUP($B20&amp;$C20&amp;$C20+MID(H$7,4,IF(COLUMN()&gt;19,2,1))-IF(LEFT(H$7,2)="to",1,0),RatesTable[],IF(LEFT(H$7,2)="in",6,7),0))=0,"",VLOOKUP($B20&amp;$C20&amp;$C20+MID(H$7,4,IF(COLUMN()&gt;19,2,1))-IF(LEFT(H$7,2)="to",1,0),RatesTable[],IF(LEFT(H$7,2)="in",6,7),0)),"")</f>
        <v>0.55700000000000005</v>
      </c>
      <c r="I20" s="71">
        <f>IFERROR(IF(LEN(VLOOKUP($B20&amp;$C20&amp;$C20+MID(I$7,4,IF(COLUMN()&gt;19,2,1))-IF(LEFT(I$7,2)="to",1,0),RatesTable[],IF(LEFT(I$7,2)="in",6,7),0))=0,"",VLOOKUP($B20&amp;$C20&amp;$C20+MID(I$7,4,IF(COLUMN()&gt;19,2,1))-IF(LEFT(I$7,2)="to",1,0),RatesTable[],IF(LEFT(I$7,2)="in",6,7),0)),"")</f>
        <v>0.15</v>
      </c>
      <c r="J20" s="71">
        <f>IFERROR(IF(LEN(VLOOKUP($B20&amp;$C20&amp;$C20+MID(J$7,4,IF(COLUMN()&gt;19,2,1))-IF(LEFT(J$7,2)="to",1,0),RatesTable[],IF(LEFT(J$7,2)="in",6,7),0))=0,"",VLOOKUP($B20&amp;$C20&amp;$C20+MID(J$7,4,IF(COLUMN()&gt;19,2,1))-IF(LEFT(J$7,2)="to",1,0),RatesTable[],IF(LEFT(J$7,2)="in",6,7),0)),"")</f>
        <v>0.29699999999999999</v>
      </c>
      <c r="K20" s="71">
        <f>IFERROR(IF(LEN(VLOOKUP($B20&amp;$C20&amp;$C20+MID(K$7,4,IF(COLUMN()&gt;19,2,1))-IF(LEFT(K$7,2)="to",1,0),RatesTable[],IF(LEFT(K$7,2)="in",6,7),0))=0,"",VLOOKUP($B20&amp;$C20&amp;$C20+MID(K$7,4,IF(COLUMN()&gt;19,2,1))-IF(LEFT(K$7,2)="to",1,0),RatesTable[],IF(LEFT(K$7,2)="in",6,7),0)),"")</f>
        <v>0.34599999999999997</v>
      </c>
      <c r="L20" s="71">
        <f>IFERROR(IF(LEN(VLOOKUP($B20&amp;$C20&amp;$C20+MID(L$7,4,IF(COLUMN()&gt;19,2,1))-IF(LEFT(L$7,2)="to",1,0),RatesTable[],IF(LEFT(L$7,2)="in",6,7),0))=0,"",VLOOKUP($B20&amp;$C20&amp;$C20+MID(L$7,4,IF(COLUMN()&gt;19,2,1))-IF(LEFT(L$7,2)="to",1,0),RatesTable[],IF(LEFT(L$7,2)="in",6,7),0)),"")</f>
        <v>9.1999999999999998E-2</v>
      </c>
      <c r="M20" s="71">
        <f>IFERROR(IF(LEN(VLOOKUP($B20&amp;$C20&amp;$C20+MID(M$7,4,IF(COLUMN()&gt;19,2,1))-IF(LEFT(M$7,2)="to",1,0),RatesTable[],IF(LEFT(M$7,2)="in",6,7),0))=0,"",VLOOKUP($B20&amp;$C20&amp;$C20+MID(M$7,4,IF(COLUMN()&gt;19,2,1))-IF(LEFT(M$7,2)="to",1,0),RatesTable[],IF(LEFT(M$7,2)="in",6,7),0)),"")</f>
        <v>0.39700000000000002</v>
      </c>
      <c r="N20" s="71">
        <f>IFERROR(IF(LEN(VLOOKUP($B20&amp;$C20&amp;$C20+MID(N$7,4,IF(COLUMN()&gt;19,2,1))-IF(LEFT(N$7,2)="to",1,0),RatesTable[],IF(LEFT(N$7,2)="in",6,7),0))=0,"",VLOOKUP($B20&amp;$C20&amp;$C20+MID(N$7,4,IF(COLUMN()&gt;19,2,1))-IF(LEFT(N$7,2)="to",1,0),RatesTable[],IF(LEFT(N$7,2)="in",6,7),0)),"")</f>
        <v>2.4E-2</v>
      </c>
      <c r="O20" s="69">
        <f>IFERROR(IF(LEN(VLOOKUP($B20&amp;$C20&amp;$C20+MID(O$7,4,IF(COLUMN()&gt;19,2,1))-IF(LEFT(O$7,2)="to",1,0),RatesTable[],IF(LEFT(O$7,2)="in",6,7),0))=0,"",VLOOKUP($B20&amp;$C20&amp;$C20+MID(O$7,4,IF(COLUMN()&gt;19,2,1))-IF(LEFT(O$7,2)="to",1,0),RatesTable[],IF(LEFT(O$7,2)="in",6,7),0)),"")</f>
        <v>0.42799999999999999</v>
      </c>
      <c r="P20" s="69">
        <f>IFERROR(IF(LEN(VLOOKUP($B20&amp;$C20&amp;$C20+MID(P$7,4,IF(COLUMN()&gt;19,2,1))-IF(LEFT(P$7,2)="to",1,0),RatesTable[],IF(LEFT(P$7,2)="in",6,7),0))=0,"",VLOOKUP($B20&amp;$C20&amp;$C20+MID(P$7,4,IF(COLUMN()&gt;19,2,1))-IF(LEFT(P$7,2)="to",1,0),RatesTable[],IF(LEFT(P$7,2)="in",6,7),0)),"")</f>
        <v>8.9999999999999993E-3</v>
      </c>
      <c r="Q20" s="71">
        <f>248/575</f>
        <v>0.43130434782608695</v>
      </c>
      <c r="R20" s="140">
        <f>8/575</f>
        <v>1.391304347826087E-2</v>
      </c>
      <c r="V20" s="84"/>
      <c r="W20" s="221"/>
    </row>
    <row r="21" spans="1:33" ht="15" customHeight="1" x14ac:dyDescent="0.2">
      <c r="A21" s="141" t="str">
        <f t="shared" si="0"/>
        <v>0053</v>
      </c>
      <c r="B21" s="101" t="s">
        <v>57</v>
      </c>
      <c r="C21" s="102">
        <v>2007</v>
      </c>
      <c r="D21" s="60">
        <f>IFERROR(IF(LEN(VLOOKUP($B21&amp;$C21,HeadcountAndScoresTable[],IF(D$7="Count",5,IF(D$7="ACT",6,7)),0))=0,"",VLOOKUP($B21&amp;$C21,HeadcountAndScoresTable[],IF(D$7="Count",5,IF(D$7="ACT",6,7)),0)),"")</f>
        <v>558</v>
      </c>
      <c r="E21" s="98">
        <f>IFERROR(IF(LEN(VLOOKUP($B21&amp;$C21,HeadcountAndScoresTable[],IF(E$7="Count",5,IF(E$7="ACT",6,7)),0))=0,"",VLOOKUP($B21&amp;$C21,HeadcountAndScoresTable[],IF(E$7="Count",5,IF(E$7="ACT",6,7)),0)),"")</f>
        <v>21.1</v>
      </c>
      <c r="F21" s="99" t="str">
        <f>IFERROR(IF(LEN(VLOOKUP($B21&amp;$C21,HeadcountAndScoresTable[],IF(F$7="Count",5,IF(F$7="ACT",6,7)),0))=0,"",VLOOKUP($B21&amp;$C21,HeadcountAndScoresTable[],IF(F$7="Count",5,IF(F$7="ACT",6,7)),0)),"")</f>
        <v/>
      </c>
      <c r="G21" s="100">
        <f>IFERROR(IF(LEN(VLOOKUP($B21&amp;$C21&amp;$C21+MID(G$7,4,IF(COLUMN()&gt;19,2,1))-IF(LEFT(G$7,2)="to",1,0),RatesTable[],IF(LEFT(G$7,2)="in",6,7),0))=0,"",VLOOKUP($B21&amp;$C21&amp;$C21+MID(G$7,4,IF(COLUMN()&gt;19,2,1))-IF(LEFT(G$7,2)="to",1,0),RatesTable[],IF(LEFT(G$7,2)="in",6,7),0)),"")</f>
        <v>0.64900000000000002</v>
      </c>
      <c r="H21" s="71">
        <f>IFERROR(IF(LEN(VLOOKUP($B21&amp;$C21&amp;$C21+MID(H$7,4,IF(COLUMN()&gt;19,2,1))-IF(LEFT(H$7,2)="to",1,0),RatesTable[],IF(LEFT(H$7,2)="in",6,7),0))=0,"",VLOOKUP($B21&amp;$C21&amp;$C21+MID(H$7,4,IF(COLUMN()&gt;19,2,1))-IF(LEFT(H$7,2)="to",1,0),RatesTable[],IF(LEFT(H$7,2)="in",6,7),0)),"")</f>
        <v>0.53800000000000003</v>
      </c>
      <c r="I21" s="71">
        <f>IFERROR(IF(LEN(VLOOKUP($B21&amp;$C21&amp;$C21+MID(I$7,4,IF(COLUMN()&gt;19,2,1))-IF(LEFT(I$7,2)="to",1,0),RatesTable[],IF(LEFT(I$7,2)="in",6,7),0))=0,"",VLOOKUP($B21&amp;$C21&amp;$C21+MID(I$7,4,IF(COLUMN()&gt;19,2,1))-IF(LEFT(I$7,2)="to",1,0),RatesTable[],IF(LEFT(I$7,2)="in",6,7),0)),"")</f>
        <v>0.17</v>
      </c>
      <c r="J21" s="71">
        <f>IFERROR(IF(LEN(VLOOKUP($B21&amp;$C21&amp;$C21+MID(J$7,4,IF(COLUMN()&gt;19,2,1))-IF(LEFT(J$7,2)="to",1,0),RatesTable[],IF(LEFT(J$7,2)="in",6,7),0))=0,"",VLOOKUP($B21&amp;$C21&amp;$C21+MID(J$7,4,IF(COLUMN()&gt;19,2,1))-IF(LEFT(J$7,2)="to",1,0),RatesTable[],IF(LEFT(J$7,2)="in",6,7),0)),"")</f>
        <v>0.26</v>
      </c>
      <c r="K21" s="71">
        <f>IFERROR(IF(LEN(VLOOKUP($B21&amp;$C21&amp;$C21+MID(K$7,4,IF(COLUMN()&gt;19,2,1))-IF(LEFT(K$7,2)="to",1,0),RatesTable[],IF(LEFT(K$7,2)="in",6,7),0))=0,"",VLOOKUP($B21&amp;$C21&amp;$C21+MID(K$7,4,IF(COLUMN()&gt;19,2,1))-IF(LEFT(K$7,2)="to",1,0),RatesTable[],IF(LEFT(K$7,2)="in",6,7),0)),"")</f>
        <v>0.33500000000000002</v>
      </c>
      <c r="L21" s="71">
        <f>IFERROR(IF(LEN(VLOOKUP($B21&amp;$C21&amp;$C21+MID(L$7,4,IF(COLUMN()&gt;19,2,1))-IF(LEFT(L$7,2)="to",1,0),RatesTable[],IF(LEFT(L$7,2)="in",6,7),0))=0,"",VLOOKUP($B21&amp;$C21&amp;$C21+MID(L$7,4,IF(COLUMN()&gt;19,2,1))-IF(LEFT(L$7,2)="to",1,0),RatesTable[],IF(LEFT(L$7,2)="in",6,7),0)),"")</f>
        <v>5.1999999999999998E-2</v>
      </c>
      <c r="M21" s="69">
        <f>IFERROR(IF(LEN(VLOOKUP($B21&amp;$C21&amp;$C21+MID(M$7,4,IF(COLUMN()&gt;19,2,1))-IF(LEFT(M$7,2)="to",1,0),RatesTable[],IF(LEFT(M$7,2)="in",6,7),0))=0,"",VLOOKUP($B21&amp;$C21&amp;$C21+MID(M$7,4,IF(COLUMN()&gt;19,2,1))-IF(LEFT(M$7,2)="to",1,0),RatesTable[],IF(LEFT(M$7,2)="in",6,7),0)),"")</f>
        <v>0.39100000000000001</v>
      </c>
      <c r="N21" s="69">
        <f>IFERROR(IF(LEN(VLOOKUP($B21&amp;$C21&amp;$C21+MID(N$7,4,IF(COLUMN()&gt;19,2,1))-IF(LEFT(N$7,2)="to",1,0),RatesTable[],IF(LEFT(N$7,2)="in",6,7),0))=0,"",VLOOKUP($B21&amp;$C21&amp;$C21+MID(N$7,4,IF(COLUMN()&gt;19,2,1))-IF(LEFT(N$7,2)="to",1,0),RatesTable[],IF(LEFT(N$7,2)="in",6,7),0)),"")</f>
        <v>3.4000000000000002E-2</v>
      </c>
      <c r="O21" s="71">
        <f>231/558</f>
        <v>0.41397849462365593</v>
      </c>
      <c r="P21" s="71">
        <f>8/558</f>
        <v>1.4336917562724014E-2</v>
      </c>
      <c r="V21" s="84"/>
      <c r="W21" s="137"/>
      <c r="AB21" s="220"/>
    </row>
    <row r="22" spans="1:33" ht="15" customHeight="1" x14ac:dyDescent="0.2">
      <c r="A22" s="141" t="str">
        <f t="shared" si="0"/>
        <v>0053</v>
      </c>
      <c r="B22" s="101" t="s">
        <v>57</v>
      </c>
      <c r="C22" s="102">
        <v>2008</v>
      </c>
      <c r="D22" s="60">
        <f>IFERROR(IF(LEN(VLOOKUP($B22&amp;$C22,HeadcountAndScoresTable[],IF(D$7="Count",5,IF(D$7="ACT",6,7)),0))=0,"",VLOOKUP($B22&amp;$C22,HeadcountAndScoresTable[],IF(D$7="Count",5,IF(D$7="ACT",6,7)),0)),"")</f>
        <v>533</v>
      </c>
      <c r="E22" s="98">
        <f>IFERROR(IF(LEN(VLOOKUP($B22&amp;$C22,HeadcountAndScoresTable[],IF(E$7="Count",5,IF(E$7="ACT",6,7)),0))=0,"",VLOOKUP($B22&amp;$C22,HeadcountAndScoresTable[],IF(E$7="Count",5,IF(E$7="ACT",6,7)),0)),"")</f>
        <v>21.3</v>
      </c>
      <c r="F22" s="99" t="str">
        <f>IFERROR(IF(LEN(VLOOKUP($B22&amp;$C22,HeadcountAndScoresTable[],IF(F$7="Count",5,IF(F$7="ACT",6,7)),0))=0,"",VLOOKUP($B22&amp;$C22,HeadcountAndScoresTable[],IF(F$7="Count",5,IF(F$7="ACT",6,7)),0)),"")</f>
        <v/>
      </c>
      <c r="G22" s="100">
        <f>IFERROR(IF(LEN(VLOOKUP($B22&amp;$C22&amp;$C22+MID(G$7,4,IF(COLUMN()&gt;19,2,1))-IF(LEFT(G$7,2)="to",1,0),RatesTable[],IF(LEFT(G$7,2)="in",6,7),0))=0,"",VLOOKUP($B22&amp;$C22&amp;$C22+MID(G$7,4,IF(COLUMN()&gt;19,2,1))-IF(LEFT(G$7,2)="to",1,0),RatesTable[],IF(LEFT(G$7,2)="in",6,7),0)),"")</f>
        <v>0.749</v>
      </c>
      <c r="H22" s="71">
        <f>IFERROR(IF(LEN(VLOOKUP($B22&amp;$C22&amp;$C22+MID(H$7,4,IF(COLUMN()&gt;19,2,1))-IF(LEFT(H$7,2)="to",1,0),RatesTable[],IF(LEFT(H$7,2)="in",6,7),0))=0,"",VLOOKUP($B22&amp;$C22&amp;$C22+MID(H$7,4,IF(COLUMN()&gt;19,2,1))-IF(LEFT(H$7,2)="to",1,0),RatesTable[],IF(LEFT(H$7,2)="in",6,7),0)),"")</f>
        <v>0.622</v>
      </c>
      <c r="I22" s="71">
        <f>IFERROR(IF(LEN(VLOOKUP($B22&amp;$C22&amp;$C22+MID(I$7,4,IF(COLUMN()&gt;19,2,1))-IF(LEFT(I$7,2)="to",1,0),RatesTable[],IF(LEFT(I$7,2)="in",6,7),0))=0,"",VLOOKUP($B22&amp;$C22&amp;$C22+MID(I$7,4,IF(COLUMN()&gt;19,2,1))-IF(LEFT(I$7,2)="to",1,0),RatesTable[],IF(LEFT(I$7,2)="in",6,7),0)),"")</f>
        <v>0.159</v>
      </c>
      <c r="J22" s="71">
        <f>IFERROR(IF(LEN(VLOOKUP($B22&amp;$C22&amp;$C22+MID(J$7,4,IF(COLUMN()&gt;19,2,1))-IF(LEFT(J$7,2)="to",1,0),RatesTable[],IF(LEFT(J$7,2)="in",6,7),0))=0,"",VLOOKUP($B22&amp;$C22&amp;$C22+MID(J$7,4,IF(COLUMN()&gt;19,2,1))-IF(LEFT(J$7,2)="to",1,0),RatesTable[],IF(LEFT(J$7,2)="in",6,7),0)),"")</f>
        <v>0.33400000000000002</v>
      </c>
      <c r="K22" s="69">
        <f>IFERROR(IF(LEN(VLOOKUP($B22&amp;$C22&amp;$C22+MID(K$7,4,IF(COLUMN()&gt;19,2,1))-IF(LEFT(K$7,2)="to",1,0),RatesTable[],IF(LEFT(K$7,2)="in",6,7),0))=0,"",VLOOKUP($B22&amp;$C22&amp;$C22+MID(K$7,4,IF(COLUMN()&gt;19,2,1))-IF(LEFT(K$7,2)="to",1,0),RatesTable[],IF(LEFT(K$7,2)="in",6,7),0)),"")</f>
        <v>0.38700000000000001</v>
      </c>
      <c r="L22" s="69">
        <f>IFERROR(IF(LEN(VLOOKUP($B22&amp;$C22&amp;$C22+MID(L$7,4,IF(COLUMN()&gt;19,2,1))-IF(LEFT(L$7,2)="to",1,0),RatesTable[],IF(LEFT(L$7,2)="in",6,7),0))=0,"",VLOOKUP($B22&amp;$C22&amp;$C22+MID(L$7,4,IF(COLUMN()&gt;19,2,1))-IF(LEFT(L$7,2)="to",1,0),RatesTable[],IF(LEFT(L$7,2)="in",6,7),0)),"")</f>
        <v>0.10100000000000001</v>
      </c>
      <c r="M22" s="71">
        <f>245/533</f>
        <v>0.45966228893058159</v>
      </c>
      <c r="N22" s="71">
        <f>21/533</f>
        <v>3.9399624765478425E-2</v>
      </c>
      <c r="O22" s="85"/>
      <c r="P22" s="85"/>
      <c r="V22" s="84"/>
      <c r="W22" s="221"/>
    </row>
    <row r="23" spans="1:33" ht="15" customHeight="1" x14ac:dyDescent="0.2">
      <c r="A23" s="141" t="str">
        <f t="shared" si="0"/>
        <v>0053</v>
      </c>
      <c r="B23" s="101" t="s">
        <v>57</v>
      </c>
      <c r="C23" s="102">
        <v>2009</v>
      </c>
      <c r="D23" s="60">
        <f>IFERROR(IF(LEN(VLOOKUP($B23&amp;$C23,HeadcountAndScoresTable[],IF(D$7="Count",5,IF(D$7="ACT",6,7)),0))=0,"",VLOOKUP($B23&amp;$C23,HeadcountAndScoresTable[],IF(D$7="Count",5,IF(D$7="ACT",6,7)),0)),"")</f>
        <v>597</v>
      </c>
      <c r="E23" s="98">
        <f>IFERROR(IF(LEN(VLOOKUP($B23&amp;$C23,HeadcountAndScoresTable[],IF(E$7="Count",5,IF(E$7="ACT",6,7)),0))=0,"",VLOOKUP($B23&amp;$C23,HeadcountAndScoresTable[],IF(E$7="Count",5,IF(E$7="ACT",6,7)),0)),"")</f>
        <v>21.2</v>
      </c>
      <c r="F23" s="99" t="str">
        <f>IFERROR(IF(LEN(VLOOKUP($B23&amp;$C23,HeadcountAndScoresTable[],IF(F$7="Count",5,IF(F$7="ACT",6,7)),0))=0,"",VLOOKUP($B23&amp;$C23,HeadcountAndScoresTable[],IF(F$7="Count",5,IF(F$7="ACT",6,7)),0)),"")</f>
        <v/>
      </c>
      <c r="G23" s="100">
        <f>IFERROR(IF(LEN(VLOOKUP($B23&amp;$C23&amp;$C23+MID(G$7,4,IF(COLUMN()&gt;19,2,1))-IF(LEFT(G$7,2)="to",1,0),RatesTable[],IF(LEFT(G$7,2)="in",6,7),0))=0,"",VLOOKUP($B23&amp;$C23&amp;$C23+MID(G$7,4,IF(COLUMN()&gt;19,2,1))-IF(LEFT(G$7,2)="to",1,0),RatesTable[],IF(LEFT(G$7,2)="in",6,7),0)),"")</f>
        <v>0.69299999999999995</v>
      </c>
      <c r="H23" s="71">
        <f>IFERROR(IF(LEN(VLOOKUP($B23&amp;$C23&amp;$C23+MID(H$7,4,IF(COLUMN()&gt;19,2,1))-IF(LEFT(H$7,2)="to",1,0),RatesTable[],IF(LEFT(H$7,2)="in",6,7),0))=0,"",VLOOKUP($B23&amp;$C23&amp;$C23+MID(H$7,4,IF(COLUMN()&gt;19,2,1))-IF(LEFT(H$7,2)="to",1,0),RatesTable[],IF(LEFT(H$7,2)="in",6,7),0)),"")</f>
        <v>0.55300000000000005</v>
      </c>
      <c r="I23" s="69">
        <f>IFERROR(IF(LEN(VLOOKUP($B23&amp;$C23&amp;$C23+MID(I$7,4,IF(COLUMN()&gt;19,2,1))-IF(LEFT(I$7,2)="to",1,0),RatesTable[],IF(LEFT(I$7,2)="in",6,7),0))=0,"",VLOOKUP($B23&amp;$C23&amp;$C23+MID(I$7,4,IF(COLUMN()&gt;19,2,1))-IF(LEFT(I$7,2)="to",1,0),RatesTable[],IF(LEFT(I$7,2)="in",6,7),0)),"")</f>
        <v>0.14899999999999999</v>
      </c>
      <c r="J23" s="63">
        <f>IFERROR(IF(LEN(VLOOKUP($B23&amp;$C23&amp;$C23+MID(J$7,4,IF(COLUMN()&gt;19,2,1))-IF(LEFT(J$7,2)="to",1,0),RatesTable[],IF(LEFT(J$7,2)="in",6,7),0))=0,"",VLOOKUP($B23&amp;$C23&amp;$C23+MID(J$7,4,IF(COLUMN()&gt;19,2,1))-IF(LEFT(J$7,2)="to",1,0),RatesTable[],IF(LEFT(J$7,2)="in",6,7),0)),"")</f>
        <v>0.33200000000000002</v>
      </c>
      <c r="K23" s="71">
        <f>225/597</f>
        <v>0.37688442211055279</v>
      </c>
      <c r="L23" s="71">
        <f>58/597</f>
        <v>9.7152428810720268E-2</v>
      </c>
      <c r="M23" s="88"/>
      <c r="N23" s="88"/>
      <c r="O23" s="86"/>
      <c r="P23" s="86"/>
      <c r="Q23" s="87"/>
      <c r="R23" s="87"/>
      <c r="V23" s="84"/>
      <c r="W23" s="221"/>
      <c r="X23" s="221"/>
      <c r="Y23" s="162"/>
    </row>
    <row r="24" spans="1:33" ht="15" customHeight="1" x14ac:dyDescent="0.2">
      <c r="A24" s="141" t="str">
        <f t="shared" si="0"/>
        <v>0053</v>
      </c>
      <c r="B24" s="101" t="s">
        <v>57</v>
      </c>
      <c r="C24" s="102">
        <v>2010</v>
      </c>
      <c r="D24" s="60">
        <f>IFERROR(IF(LEN(VLOOKUP($B24&amp;$C24,HeadcountAndScoresTable[],IF(D$7="Count",5,IF(D$7="ACT",6,7)),0))=0,"",VLOOKUP($B24&amp;$C24,HeadcountAndScoresTable[],IF(D$7="Count",5,IF(D$7="ACT",6,7)),0)),"")</f>
        <v>562</v>
      </c>
      <c r="E24" s="98">
        <f>IFERROR(IF(LEN(VLOOKUP($B24&amp;$C24,HeadcountAndScoresTable[],IF(E$7="Count",5,IF(E$7="ACT",6,7)),0))=0,"",VLOOKUP($B24&amp;$C24,HeadcountAndScoresTable[],IF(E$7="Count",5,IF(E$7="ACT",6,7)),0)),"")</f>
        <v>21.9</v>
      </c>
      <c r="F24" s="99" t="str">
        <f>IFERROR(IF(LEN(VLOOKUP($B24&amp;$C24,HeadcountAndScoresTable[],IF(F$7="Count",5,IF(F$7="ACT",6,7)),0))=0,"",VLOOKUP($B24&amp;$C24,HeadcountAndScoresTable[],IF(F$7="Count",5,IF(F$7="ACT",6,7)),0)),"")</f>
        <v/>
      </c>
      <c r="G24" s="100">
        <f>IFERROR(IF(LEN(VLOOKUP($B24&amp;$C24&amp;$C24+MID(G$7,4,IF(COLUMN()&gt;19,2,1))-IF(LEFT(G$7,2)="to",1,0),RatesTable[],IF(LEFT(G$7,2)="in",6,7),0))=0,"",VLOOKUP($B24&amp;$C24&amp;$C24+MID(G$7,4,IF(COLUMN()&gt;19,2,1))-IF(LEFT(G$7,2)="to",1,0),RatesTable[],IF(LEFT(G$7,2)="in",6,7),0)),"")</f>
        <v>0.74199999999999999</v>
      </c>
      <c r="H24" s="70">
        <f>IFERROR(IF(LEN(VLOOKUP($B24&amp;$C24&amp;$C24+MID(H$7,4,IF(COLUMN()&gt;19,2,1))-IF(LEFT(H$7,2)="to",1,0),RatesTable[],IF(LEFT(H$7,2)="in",6,7),0))=0,"",VLOOKUP($B24&amp;$C24&amp;$C24+MID(H$7,4,IF(COLUMN()&gt;19,2,1))-IF(LEFT(H$7,2)="to",1,0),RatesTable[],IF(LEFT(H$7,2)="in",6,7),0)),"")</f>
        <v>0.59399999999999997</v>
      </c>
      <c r="I24" s="71">
        <f>109/562</f>
        <v>0.19395017793594305</v>
      </c>
      <c r="J24" s="71">
        <f>173/562</f>
        <v>0.30782918149466193</v>
      </c>
      <c r="K24" s="88"/>
      <c r="L24" s="88"/>
      <c r="M24" s="88"/>
      <c r="N24" s="88"/>
      <c r="O24" s="86"/>
      <c r="P24" s="86"/>
      <c r="Q24" s="87"/>
      <c r="R24" s="87"/>
      <c r="V24" s="84"/>
      <c r="W24" s="221"/>
      <c r="X24" s="220"/>
      <c r="Y24" s="162"/>
    </row>
    <row r="25" spans="1:33" ht="15" customHeight="1" x14ac:dyDescent="0.2">
      <c r="A25" s="141" t="str">
        <f t="shared" si="0"/>
        <v>0053</v>
      </c>
      <c r="B25" s="101" t="s">
        <v>57</v>
      </c>
      <c r="C25" s="102">
        <v>2011</v>
      </c>
      <c r="D25" s="60">
        <f>IFERROR(IF(LEN(VLOOKUP($B25&amp;$C25,HeadcountAndScoresTable[],IF(D$7="Count",5,IF(D$7="ACT",6,7)),0))=0,"",VLOOKUP($B25&amp;$C25,HeadcountAndScoresTable[],IF(D$7="Count",5,IF(D$7="ACT",6,7)),0)),"")</f>
        <v>546</v>
      </c>
      <c r="E25" s="98">
        <f>IFERROR(IF(LEN(VLOOKUP($B25&amp;$C25,HeadcountAndScoresTable[],IF(E$7="Count",5,IF(E$7="ACT",6,7)),0))=0,"",VLOOKUP($B25&amp;$C25,HeadcountAndScoresTable[],IF(E$7="Count",5,IF(E$7="ACT",6,7)),0)),"")</f>
        <v>21.6</v>
      </c>
      <c r="F25" s="99" t="str">
        <f>IFERROR(IF(LEN(VLOOKUP($B25&amp;$C25,HeadcountAndScoresTable[],IF(F$7="Count",5,IF(F$7="ACT",6,7)),0))=0,"",VLOOKUP($B25&amp;$C25,HeadcountAndScoresTable[],IF(F$7="Count",5,IF(F$7="ACT",6,7)),0)),"")</f>
        <v/>
      </c>
      <c r="G25" s="100">
        <f>IFERROR(IF(LEN(VLOOKUP($B25&amp;$C25&amp;$C25+MID(G$7,4,IF(COLUMN()&gt;19,2,1))-IF(LEFT(G$7,2)="to",1,0),RatesTable[],IF(LEFT(G$7,2)="in",6,7),0))=0,"",VLOOKUP($B25&amp;$C25&amp;$C25+MID(G$7,4,IF(COLUMN()&gt;19,2,1))-IF(LEFT(G$7,2)="to",1,0),RatesTable[],IF(LEFT(G$7,2)="in",6,7),0)),"")</f>
        <v>0.73299999999999998</v>
      </c>
      <c r="H25" s="71">
        <f>IFERROR(IF(LEN(VLOOKUP($B25&amp;$C25&amp;$C25+MID(H$7,4,IF(COLUMN()&gt;19,2,1))-IF(LEFT(H$7,2)="to",1,0),RatesTable[],IF(LEFT(H$7,2)="in",6,7),0))=0,"",VLOOKUP($B25&amp;$C25&amp;$C25+MID(H$7,4,IF(COLUMN()&gt;19,2,1))-IF(LEFT(H$7,2)="to",1,0),RatesTable[],IF(LEFT(H$7,2)="in",6,7),0)),"")</f>
        <v>0.61199999999999999</v>
      </c>
      <c r="I25" s="88"/>
      <c r="J25" s="88"/>
      <c r="K25" s="235"/>
      <c r="L25" s="88"/>
      <c r="M25" s="88"/>
      <c r="N25" s="88"/>
      <c r="O25" s="86"/>
      <c r="P25" s="86"/>
      <c r="Q25" s="87"/>
      <c r="R25" s="87"/>
      <c r="V25" s="84"/>
      <c r="W25" s="221"/>
      <c r="X25" s="137"/>
      <c r="Y25" s="162"/>
    </row>
    <row r="26" spans="1:33" ht="15" customHeight="1" x14ac:dyDescent="0.2">
      <c r="A26" s="141" t="str">
        <f t="shared" si="0"/>
        <v>0053</v>
      </c>
      <c r="B26" s="101" t="s">
        <v>57</v>
      </c>
      <c r="C26" s="102">
        <v>2012</v>
      </c>
      <c r="D26" s="60">
        <f>IFERROR(IF(LEN(VLOOKUP($B26&amp;$C26,HeadcountAndScoresTable[],IF(D$7="Count",5,IF(D$7="ACT",6,7)),0))=0,"",VLOOKUP($B26&amp;$C26,HeadcountAndScoresTable[],IF(D$7="Count",5,IF(D$7="ACT",6,7)),0)),"")</f>
        <v>595</v>
      </c>
      <c r="E26" s="98">
        <f>IFERROR(IF(LEN(VLOOKUP($B26&amp;$C26,HeadcountAndScoresTable[],IF(E$7="Count",5,IF(E$7="ACT",6,7)),0))=0,"",VLOOKUP($B26&amp;$C26,HeadcountAndScoresTable[],IF(E$7="Count",5,IF(E$7="ACT",6,7)),0)),"")</f>
        <v>21.6</v>
      </c>
      <c r="F26" s="99" t="str">
        <f>IFERROR(IF(LEN(VLOOKUP($B26&amp;$C26,HeadcountAndScoresTable[],IF(F$7="Count",5,IF(F$7="ACT",6,7)),0))=0,"",VLOOKUP($B26&amp;$C26,HeadcountAndScoresTable[],IF(F$7="Count",5,IF(F$7="ACT",6,7)),0)),"")</f>
        <v/>
      </c>
      <c r="G26" s="100">
        <f>IFERROR(IF(LEN(VLOOKUP($B26&amp;$C26&amp;$C26+MID(G$7,4,IF(COLUMN()&gt;19,2,1))-IF(LEFT(G$7,2)="to",1,0),RatesTable[],IF(LEFT(G$7,2)="in",6,7),0))=0,"",VLOOKUP($B26&amp;$C26&amp;$C26+MID(G$7,4,IF(COLUMN()&gt;19,2,1))-IF(LEFT(G$7,2)="to",1,0),RatesTable[],IF(LEFT(G$7,2)="in",6,7),0)),"")</f>
        <v>0.73499999999999999</v>
      </c>
      <c r="H26" s="71">
        <f>372/595</f>
        <v>0.62521008403361344</v>
      </c>
      <c r="I26" s="88"/>
      <c r="J26" s="88"/>
      <c r="K26" s="88"/>
      <c r="L26" s="88"/>
      <c r="M26" s="88"/>
      <c r="N26" s="88"/>
      <c r="O26" s="86"/>
      <c r="P26" s="86"/>
      <c r="Q26" s="87"/>
      <c r="R26" s="87"/>
      <c r="V26" s="84"/>
      <c r="W26" s="221"/>
      <c r="X26" s="220"/>
      <c r="Y26" s="162"/>
      <c r="Z26" s="186"/>
    </row>
    <row r="27" spans="1:33" ht="15" customHeight="1" thickBot="1" x14ac:dyDescent="0.25">
      <c r="A27" s="141" t="str">
        <f t="shared" si="0"/>
        <v>0053</v>
      </c>
      <c r="B27" s="114" t="s">
        <v>57</v>
      </c>
      <c r="C27" s="115">
        <v>2013</v>
      </c>
      <c r="D27" s="126">
        <v>565</v>
      </c>
      <c r="E27" s="116">
        <v>21.9</v>
      </c>
      <c r="F27" s="117" t="str">
        <f>IFERROR(IF(LEN(VLOOKUP($B27&amp;$C27,HeadcountAndScoresTable[],IF(F$7="Count",5,IF(F$7="ACT",6,7)),0))=0,"",VLOOKUP($B27&amp;$C27,HeadcountAndScoresTable[],IF(F$7="Count",5,IF(F$7="ACT",6,7)),0)),"")</f>
        <v/>
      </c>
      <c r="G27" s="118">
        <f>419/565</f>
        <v>0.74159292035398228</v>
      </c>
      <c r="H27" s="119"/>
      <c r="I27" s="119"/>
      <c r="J27" s="119"/>
      <c r="K27" s="119"/>
      <c r="L27" s="119"/>
      <c r="M27" s="119"/>
      <c r="N27" s="119"/>
      <c r="O27" s="120"/>
      <c r="P27" s="120"/>
      <c r="Q27" s="121"/>
      <c r="R27" s="121"/>
      <c r="S27" s="122"/>
      <c r="T27" s="122"/>
      <c r="U27" s="122"/>
      <c r="V27" s="122"/>
      <c r="W27" s="221"/>
      <c r="X27" s="221"/>
      <c r="Y27" s="162"/>
    </row>
    <row r="28" spans="1:33" ht="15" customHeight="1" x14ac:dyDescent="0.2">
      <c r="A28" s="141" t="str">
        <f t="shared" si="0"/>
        <v>0053</v>
      </c>
      <c r="B28" s="101" t="s">
        <v>54</v>
      </c>
      <c r="C28" s="102">
        <v>2004</v>
      </c>
      <c r="D28" s="60">
        <f>IFERROR(IF(LEN(VLOOKUP($B28&amp;$C28,HeadcountAndScoresTable[],IF(D$7="Count",5,IF(D$7="ACT",6,7)),0))=0,"",VLOOKUP($B28&amp;$C28,HeadcountAndScoresTable[],IF(D$7="Count",5,IF(D$7="ACT",6,7)),0)),"")</f>
        <v>387</v>
      </c>
      <c r="E28" s="98">
        <f>IFERROR(IF(LEN(VLOOKUP($B28&amp;$C28,HeadcountAndScoresTable[],IF(E$7="Count",5,IF(E$7="ACT",6,7)),0))=0,"",VLOOKUP($B28&amp;$C28,HeadcountAndScoresTable[],IF(E$7="Count",5,IF(E$7="ACT",6,7)),0)),"")</f>
        <v>20.6</v>
      </c>
      <c r="F28" s="99" t="str">
        <f>IFERROR(IF(LEN(VLOOKUP($B28&amp;$C28,HeadcountAndScoresTable[],IF(F$7="Count",5,IF(F$7="ACT",6,7)),0))=0,"",VLOOKUP($B28&amp;$C28,HeadcountAndScoresTable[],IF(F$7="Count",5,IF(F$7="ACT",6,7)),0)),"")</f>
        <v/>
      </c>
      <c r="G28" s="100">
        <f>IFERROR(IF(LEN(VLOOKUP($B28&amp;$C28&amp;$C28+MID(G$7,4,IF(COLUMN()&gt;19,2,1))-IF(LEFT(G$7,2)="to",1,0),RatesTable[],IF(LEFT(G$7,2)="in",6,7),0))=0,"",VLOOKUP($B28&amp;$C28&amp;$C28+MID(G$7,4,IF(COLUMN()&gt;19,2,1))-IF(LEFT(G$7,2)="to",1,0),RatesTable[],IF(LEFT(G$7,2)="in",6,7),0)),"")</f>
        <v>0.61499999999999999</v>
      </c>
      <c r="H28" s="71">
        <f>IFERROR(IF(LEN(VLOOKUP($B28&amp;$C28&amp;$C28+MID(H$7,4,IF(COLUMN()&gt;19,2,1))-IF(LEFT(H$7,2)="to",1,0),RatesTable[],IF(LEFT(H$7,2)="in",6,7),0))=0,"",VLOOKUP($B28&amp;$C28&amp;$C28+MID(H$7,4,IF(COLUMN()&gt;19,2,1))-IF(LEFT(H$7,2)="to",1,0),RatesTable[],IF(LEFT(H$7,2)="in",6,7),0)),"")</f>
        <v>0.52500000000000002</v>
      </c>
      <c r="I28" s="71">
        <f>IFERROR(IF(LEN(VLOOKUP($B28&amp;$C28&amp;$C28+MID(I$7,4,IF(COLUMN()&gt;19,2,1))-IF(LEFT(I$7,2)="to",1,0),RatesTable[],IF(LEFT(I$7,2)="in",6,7),0))=0,"",VLOOKUP($B28&amp;$C28&amp;$C28+MID(I$7,4,IF(COLUMN()&gt;19,2,1))-IF(LEFT(I$7,2)="to",1,0),RatesTable[],IF(LEFT(I$7,2)="in",6,7),0)),"")</f>
        <v>7.0000000000000007E-2</v>
      </c>
      <c r="J28" s="71">
        <f>IFERROR(IF(LEN(VLOOKUP($B28&amp;$C28&amp;$C28+MID(J$7,4,IF(COLUMN()&gt;19,2,1))-IF(LEFT(J$7,2)="to",1,0),RatesTable[],IF(LEFT(J$7,2)="in",6,7),0))=0,"",VLOOKUP($B28&amp;$C28&amp;$C28+MID(J$7,4,IF(COLUMN()&gt;19,2,1))-IF(LEFT(J$7,2)="to",1,0),RatesTable[],IF(LEFT(J$7,2)="in",6,7),0)),"")</f>
        <v>0.251</v>
      </c>
      <c r="K28" s="71">
        <f>IFERROR(IF(LEN(VLOOKUP($B28&amp;$C28&amp;$C28+MID(K$7,4,IF(COLUMN()&gt;19,2,1))-IF(LEFT(K$7,2)="to",1,0),RatesTable[],IF(LEFT(K$7,2)="in",6,7),0))=0,"",VLOOKUP($B28&amp;$C28&amp;$C28+MID(K$7,4,IF(COLUMN()&gt;19,2,1))-IF(LEFT(K$7,2)="to",1,0),RatesTable[],IF(LEFT(K$7,2)="in",6,7),0)),"")</f>
        <v>0.19900000000000001</v>
      </c>
      <c r="L28" s="71">
        <f>IFERROR(IF(LEN(VLOOKUP($B28&amp;$C28&amp;$C28+MID(L$7,4,IF(COLUMN()&gt;19,2,1))-IF(LEFT(L$7,2)="to",1,0),RatesTable[],IF(LEFT(L$7,2)="in",6,7),0))=0,"",VLOOKUP($B28&amp;$C28&amp;$C28+MID(L$7,4,IF(COLUMN()&gt;19,2,1))-IF(LEFT(L$7,2)="to",1,0),RatesTable[],IF(LEFT(L$7,2)="in",6,7),0)),"")</f>
        <v>9.8000000000000004E-2</v>
      </c>
      <c r="M28" s="69">
        <f>IFERROR(IF(LEN(VLOOKUP($B28&amp;$C28&amp;$C28+MID(M$7,4,IF(COLUMN()&gt;19,2,1))-IF(LEFT(M$7,2)="to",1,0),RatesTable[],IF(LEFT(M$7,2)="in",6,7),0))=0,"",VLOOKUP($B28&amp;$C28&amp;$C28+MID(M$7,4,IF(COLUMN()&gt;19,2,1))-IF(LEFT(M$7,2)="to",1,0),RatesTable[],IF(LEFT(M$7,2)="in",6,7),0)),"")</f>
        <v>0.24</v>
      </c>
      <c r="N28" s="69">
        <f>IFERROR(IF(LEN(VLOOKUP($B28&amp;$C28&amp;$C28+MID(N$7,4,IF(COLUMN()&gt;19,2,1))-IF(LEFT(N$7,2)="to",1,0),RatesTable[],IF(LEFT(N$7,2)="in",6,7),0))=0,"",VLOOKUP($B28&amp;$C28&amp;$C28+MID(N$7,4,IF(COLUMN()&gt;19,2,1))-IF(LEFT(N$7,2)="to",1,0),RatesTable[],IF(LEFT(N$7,2)="in",6,7),0)),"")</f>
        <v>5.3999999999999999E-2</v>
      </c>
      <c r="O28" s="69">
        <f>IFERROR(IF(LEN(VLOOKUP($B28&amp;$C28&amp;$C28+MID(O$7,4,IF(COLUMN()&gt;19,2,1))-IF(LEFT(O$7,2)="to",1,0),RatesTable[],IF(LEFT(O$7,2)="in",6,7),0))=0,"",VLOOKUP($B28&amp;$C28&amp;$C28+MID(O$7,4,IF(COLUMN()&gt;19,2,1))-IF(LEFT(O$7,2)="to",1,0),RatesTable[],IF(LEFT(O$7,2)="in",6,7),0)),"")</f>
        <v>0.26600000000000001</v>
      </c>
      <c r="P28" s="69">
        <f>IFERROR(IF(LEN(VLOOKUP($B28&amp;$C28&amp;$C28+MID(P$7,4,IF(COLUMN()&gt;19,2,1))-IF(LEFT(P$7,2)="to",1,0),RatesTable[],IF(LEFT(P$7,2)="in",6,7),0))=0,"",VLOOKUP($B28&amp;$C28&amp;$C28+MID(P$7,4,IF(COLUMN()&gt;19,2,1))-IF(LEFT(P$7,2)="to",1,0),RatesTable[],IF(LEFT(P$7,2)="in",6,7),0)),"")</f>
        <v>2.3E-2</v>
      </c>
      <c r="Q28" s="69">
        <f>IFERROR(IF(LEN(VLOOKUP($B28&amp;$C28&amp;$C28+MID(Q$7,4,IF(COLUMN()&gt;19,2,1))-IF(LEFT(Q$7,2)="to",1,0),RatesTable[],IF(LEFT(Q$7,2)="in",6,7),0))=0,"",VLOOKUP($B28&amp;$C28&amp;$C28+MID(Q$7,4,IF(COLUMN()&gt;19,2,1))-IF(LEFT(Q$7,2)="to",1,0),RatesTable[],IF(LEFT(Q$7,2)="in",6,7),0)),"")</f>
        <v>0.28199999999999997</v>
      </c>
      <c r="R28" s="69">
        <f>IFERROR(IF(LEN(VLOOKUP($B28&amp;$C28&amp;$C28+MID(R$7,4,IF(COLUMN()&gt;19,2,1))-IF(LEFT(R$7,2)="to",1,0),RatesTable[],IF(LEFT(R$7,2)="in",6,7),0))=0,"",VLOOKUP($B28&amp;$C28&amp;$C28+MID(R$7,4,IF(COLUMN()&gt;19,2,1))-IF(LEFT(R$7,2)="to",1,0),RatesTable[],IF(LEFT(R$7,2)="in",6,7),0)),"")</f>
        <v>8.0000000000000002E-3</v>
      </c>
      <c r="S28" s="69">
        <f>IFERROR(IF(LEN(VLOOKUP($B28&amp;$C28&amp;$C28+MID(S$7,4,IF(COLUMN()&gt;19,2,1))-IF(LEFT(S$7,2)="to",1,0),RatesTable[],IF(LEFT(S$7,2)="in",6,7),0))=0,"",VLOOKUP($B28&amp;$C28&amp;$C28+MID(S$7,4,IF(COLUMN()&gt;19,2,1))-IF(LEFT(S$7,2)="to",1,0),RatesTable[],IF(LEFT(S$7,2)="in",6,7),0)),"")</f>
        <v>0.28699999999999998</v>
      </c>
      <c r="T28" s="69">
        <f>IFERROR(IF(LEN(VLOOKUP($B28&amp;$C28&amp;$C28+MID(T$7,4,IF(COLUMN()&gt;19,2,1))-IF(LEFT(T$7,2)="to",1,0),RatesTable[],IF(LEFT(T$7,2)="in",6,7),0))=0,"",VLOOKUP($B28&amp;$C28&amp;$C28+MID(T$7,4,IF(COLUMN()&gt;19,2,1))-IF(LEFT(T$7,2)="to",1,0),RatesTable[],IF(LEFT(T$7,2)="in",6,7),0)),"")</f>
        <v>2.5999999999999999E-2</v>
      </c>
      <c r="U28" s="71">
        <f>112/387</f>
        <v>0.28940568475452194</v>
      </c>
      <c r="V28" s="71">
        <f>6/387</f>
        <v>1.5503875968992248E-2</v>
      </c>
      <c r="W28" s="221"/>
      <c r="X28" s="221"/>
      <c r="Y28" s="162"/>
    </row>
    <row r="29" spans="1:33" ht="15" customHeight="1" x14ac:dyDescent="0.2">
      <c r="A29" s="141" t="str">
        <f t="shared" si="0"/>
        <v>0053</v>
      </c>
      <c r="B29" s="101" t="s">
        <v>54</v>
      </c>
      <c r="C29" s="102">
        <v>2005</v>
      </c>
      <c r="D29" s="60">
        <f>IFERROR(IF(LEN(VLOOKUP($B29&amp;$C29,HeadcountAndScoresTable[],IF(D$7="Count",5,IF(D$7="ACT",6,7)),0))=0,"",VLOOKUP($B29&amp;$C29,HeadcountAndScoresTable[],IF(D$7="Count",5,IF(D$7="ACT",6,7)),0)),"")</f>
        <v>456</v>
      </c>
      <c r="E29" s="98">
        <f>IFERROR(IF(LEN(VLOOKUP($B29&amp;$C29,HeadcountAndScoresTable[],IF(E$7="Count",5,IF(E$7="ACT",6,7)),0))=0,"",VLOOKUP($B29&amp;$C29,HeadcountAndScoresTable[],IF(E$7="Count",5,IF(E$7="ACT",6,7)),0)),"")</f>
        <v>20.3</v>
      </c>
      <c r="F29" s="99" t="str">
        <f>IFERROR(IF(LEN(VLOOKUP($B29&amp;$C29,HeadcountAndScoresTable[],IF(F$7="Count",5,IF(F$7="ACT",6,7)),0))=0,"",VLOOKUP($B29&amp;$C29,HeadcountAndScoresTable[],IF(F$7="Count",5,IF(F$7="ACT",6,7)),0)),"")</f>
        <v/>
      </c>
      <c r="G29" s="100">
        <f>IFERROR(IF(LEN(VLOOKUP($B29&amp;$C29&amp;$C29+MID(G$7,4,IF(COLUMN()&gt;19,2,1))-IF(LEFT(G$7,2)="to",1,0),RatesTable[],IF(LEFT(G$7,2)="in",6,7),0))=0,"",VLOOKUP($B29&amp;$C29&amp;$C29+MID(G$7,4,IF(COLUMN()&gt;19,2,1))-IF(LEFT(G$7,2)="to",1,0),RatesTable[],IF(LEFT(G$7,2)="in",6,7),0)),"")</f>
        <v>0.61199999999999999</v>
      </c>
      <c r="H29" s="71">
        <f>IFERROR(IF(LEN(VLOOKUP($B29&amp;$C29&amp;$C29+MID(H$7,4,IF(COLUMN()&gt;19,2,1))-IF(LEFT(H$7,2)="to",1,0),RatesTable[],IF(LEFT(H$7,2)="in",6,7),0))=0,"",VLOOKUP($B29&amp;$C29&amp;$C29+MID(H$7,4,IF(COLUMN()&gt;19,2,1))-IF(LEFT(H$7,2)="to",1,0),RatesTable[],IF(LEFT(H$7,2)="in",6,7),0)),"")</f>
        <v>0.48499999999999999</v>
      </c>
      <c r="I29" s="71">
        <f>IFERROR(IF(LEN(VLOOKUP($B29&amp;$C29&amp;$C29+MID(I$7,4,IF(COLUMN()&gt;19,2,1))-IF(LEFT(I$7,2)="to",1,0),RatesTable[],IF(LEFT(I$7,2)="in",6,7),0))=0,"",VLOOKUP($B29&amp;$C29&amp;$C29+MID(I$7,4,IF(COLUMN()&gt;19,2,1))-IF(LEFT(I$7,2)="to",1,0),RatesTable[],IF(LEFT(I$7,2)="in",6,7),0)),"")</f>
        <v>7.9000000000000001E-2</v>
      </c>
      <c r="J29" s="71">
        <f>IFERROR(IF(LEN(VLOOKUP($B29&amp;$C29&amp;$C29+MID(J$7,4,IF(COLUMN()&gt;19,2,1))-IF(LEFT(J$7,2)="to",1,0),RatesTable[],IF(LEFT(J$7,2)="in",6,7),0))=0,"",VLOOKUP($B29&amp;$C29&amp;$C29+MID(J$7,4,IF(COLUMN()&gt;19,2,1))-IF(LEFT(J$7,2)="to",1,0),RatesTable[],IF(LEFT(J$7,2)="in",6,7),0)),"")</f>
        <v>0.25</v>
      </c>
      <c r="K29" s="71">
        <f>IFERROR(IF(LEN(VLOOKUP($B29&amp;$C29&amp;$C29+MID(K$7,4,IF(COLUMN()&gt;19,2,1))-IF(LEFT(K$7,2)="to",1,0),RatesTable[],IF(LEFT(K$7,2)="in",6,7),0))=0,"",VLOOKUP($B29&amp;$C29&amp;$C29+MID(K$7,4,IF(COLUMN()&gt;19,2,1))-IF(LEFT(K$7,2)="to",1,0),RatesTable[],IF(LEFT(K$7,2)="in",6,7),0)),"")</f>
        <v>0.219</v>
      </c>
      <c r="L29" s="71">
        <f>IFERROR(IF(LEN(VLOOKUP($B29&amp;$C29&amp;$C29+MID(L$7,4,IF(COLUMN()&gt;19,2,1))-IF(LEFT(L$7,2)="to",1,0),RatesTable[],IF(LEFT(L$7,2)="in",6,7),0))=0,"",VLOOKUP($B29&amp;$C29&amp;$C29+MID(L$7,4,IF(COLUMN()&gt;19,2,1))-IF(LEFT(L$7,2)="to",1,0),RatesTable[],IF(LEFT(L$7,2)="in",6,7),0)),"")</f>
        <v>0.11</v>
      </c>
      <c r="M29" s="69">
        <f>IFERROR(IF(LEN(VLOOKUP($B29&amp;$C29&amp;$C29+MID(M$7,4,IF(COLUMN()&gt;19,2,1))-IF(LEFT(M$7,2)="to",1,0),RatesTable[],IF(LEFT(M$7,2)="in",6,7),0))=0,"",VLOOKUP($B29&amp;$C29&amp;$C29+MID(M$7,4,IF(COLUMN()&gt;19,2,1))-IF(LEFT(M$7,2)="to",1,0),RatesTable[],IF(LEFT(M$7,2)="in",6,7),0)),"")</f>
        <v>0.27400000000000002</v>
      </c>
      <c r="N29" s="69">
        <f>IFERROR(IF(LEN(VLOOKUP($B29&amp;$C29&amp;$C29+MID(N$7,4,IF(COLUMN()&gt;19,2,1))-IF(LEFT(N$7,2)="to",1,0),RatesTable[],IF(LEFT(N$7,2)="in",6,7),0))=0,"",VLOOKUP($B29&amp;$C29&amp;$C29+MID(N$7,4,IF(COLUMN()&gt;19,2,1))-IF(LEFT(N$7,2)="to",1,0),RatesTable[],IF(LEFT(N$7,2)="in",6,7),0)),"")</f>
        <v>5.5E-2</v>
      </c>
      <c r="O29" s="69">
        <f>IFERROR(IF(LEN(VLOOKUP($B29&amp;$C29&amp;$C29+MID(O$7,4,IF(COLUMN()&gt;19,2,1))-IF(LEFT(O$7,2)="to",1,0),RatesTable[],IF(LEFT(O$7,2)="in",6,7),0))=0,"",VLOOKUP($B29&amp;$C29&amp;$C29+MID(O$7,4,IF(COLUMN()&gt;19,2,1))-IF(LEFT(O$7,2)="to",1,0),RatesTable[],IF(LEFT(O$7,2)="in",6,7),0)),"")</f>
        <v>0.3</v>
      </c>
      <c r="P29" s="69">
        <f>IFERROR(IF(LEN(VLOOKUP($B29&amp;$C29&amp;$C29+MID(P$7,4,IF(COLUMN()&gt;19,2,1))-IF(LEFT(P$7,2)="to",1,0),RatesTable[],IF(LEFT(P$7,2)="in",6,7),0))=0,"",VLOOKUP($B29&amp;$C29&amp;$C29+MID(P$7,4,IF(COLUMN()&gt;19,2,1))-IF(LEFT(P$7,2)="to",1,0),RatesTable[],IF(LEFT(P$7,2)="in",6,7),0)),"")</f>
        <v>3.6999999999999998E-2</v>
      </c>
      <c r="Q29" s="64">
        <f>IFERROR(IF(LEN(VLOOKUP($B29&amp;$C29&amp;$C29+MID(Q$7,4,IF(COLUMN()&gt;19,2,1))-IF(LEFT(Q$7,2)="to",1,0),RatesTable[],IF(LEFT(Q$7,2)="in",6,7),0))=0,"",VLOOKUP($B29&amp;$C29&amp;$C29+MID(Q$7,4,IF(COLUMN()&gt;19,2,1))-IF(LEFT(Q$7,2)="to",1,0),RatesTable[],IF(LEFT(Q$7,2)="in",6,7),0)),"")</f>
        <v>0.32</v>
      </c>
      <c r="R29" s="64">
        <f>IFERROR(IF(LEN(VLOOKUP($B29&amp;$C29&amp;$C29+MID(R$7,4,IF(COLUMN()&gt;19,2,1))-IF(LEFT(R$7,2)="to",1,0),RatesTable[],IF(LEFT(R$7,2)="in",6,7),0))=0,"",VLOOKUP($B29&amp;$C29&amp;$C29+MID(R$7,4,IF(COLUMN()&gt;19,2,1))-IF(LEFT(R$7,2)="to",1,0),RatesTable[],IF(LEFT(R$7,2)="in",6,7),0)),"")</f>
        <v>2.4E-2</v>
      </c>
      <c r="S29" s="71">
        <f>147/456</f>
        <v>0.32236842105263158</v>
      </c>
      <c r="T29" s="71">
        <f>5/456</f>
        <v>1.0964912280701754E-2</v>
      </c>
      <c r="V29" s="84"/>
      <c r="W29" s="137"/>
      <c r="X29" s="220"/>
      <c r="Y29" s="162"/>
    </row>
    <row r="30" spans="1:33" ht="15" customHeight="1" x14ac:dyDescent="0.2">
      <c r="A30" s="141" t="str">
        <f t="shared" si="0"/>
        <v>0053</v>
      </c>
      <c r="B30" s="101" t="s">
        <v>54</v>
      </c>
      <c r="C30" s="102">
        <v>2006</v>
      </c>
      <c r="D30" s="60">
        <f>IFERROR(IF(LEN(VLOOKUP($B30&amp;$C30,HeadcountAndScoresTable[],IF(D$7="Count",5,IF(D$7="ACT",6,7)),0))=0,"",VLOOKUP($B30&amp;$C30,HeadcountAndScoresTable[],IF(D$7="Count",5,IF(D$7="ACT",6,7)),0)),"")</f>
        <v>444</v>
      </c>
      <c r="E30" s="98">
        <f>IFERROR(IF(LEN(VLOOKUP($B30&amp;$C30,HeadcountAndScoresTable[],IF(E$7="Count",5,IF(E$7="ACT",6,7)),0))=0,"",VLOOKUP($B30&amp;$C30,HeadcountAndScoresTable[],IF(E$7="Count",5,IF(E$7="ACT",6,7)),0)),"")</f>
        <v>20.3</v>
      </c>
      <c r="F30" s="99" t="str">
        <f>IFERROR(IF(LEN(VLOOKUP($B30&amp;$C30,HeadcountAndScoresTable[],IF(F$7="Count",5,IF(F$7="ACT",6,7)),0))=0,"",VLOOKUP($B30&amp;$C30,HeadcountAndScoresTable[],IF(F$7="Count",5,IF(F$7="ACT",6,7)),0)),"")</f>
        <v/>
      </c>
      <c r="G30" s="100">
        <f>IFERROR(IF(LEN(VLOOKUP($B30&amp;$C30&amp;$C30+MID(G$7,4,IF(COLUMN()&gt;19,2,1))-IF(LEFT(G$7,2)="to",1,0),RatesTable[],IF(LEFT(G$7,2)="in",6,7),0))=0,"",VLOOKUP($B30&amp;$C30&amp;$C30+MID(G$7,4,IF(COLUMN()&gt;19,2,1))-IF(LEFT(G$7,2)="to",1,0),RatesTable[],IF(LEFT(G$7,2)="in",6,7),0)),"")</f>
        <v>0.54100000000000004</v>
      </c>
      <c r="H30" s="71">
        <f>IFERROR(IF(LEN(VLOOKUP($B30&amp;$C30&amp;$C30+MID(H$7,4,IF(COLUMN()&gt;19,2,1))-IF(LEFT(H$7,2)="to",1,0),RatesTable[],IF(LEFT(H$7,2)="in",6,7),0))=0,"",VLOOKUP($B30&amp;$C30&amp;$C30+MID(H$7,4,IF(COLUMN()&gt;19,2,1))-IF(LEFT(H$7,2)="to",1,0),RatesTable[],IF(LEFT(H$7,2)="in",6,7),0)),"")</f>
        <v>0.38100000000000001</v>
      </c>
      <c r="I30" s="71">
        <f>IFERROR(IF(LEN(VLOOKUP($B30&amp;$C30&amp;$C30+MID(I$7,4,IF(COLUMN()&gt;19,2,1))-IF(LEFT(I$7,2)="to",1,0),RatesTable[],IF(LEFT(I$7,2)="in",6,7),0))=0,"",VLOOKUP($B30&amp;$C30&amp;$C30+MID(I$7,4,IF(COLUMN()&gt;19,2,1))-IF(LEFT(I$7,2)="to",1,0),RatesTable[],IF(LEFT(I$7,2)="in",6,7),0)),"")</f>
        <v>5.8999999999999997E-2</v>
      </c>
      <c r="J30" s="71">
        <f>IFERROR(IF(LEN(VLOOKUP($B30&amp;$C30&amp;$C30+MID(J$7,4,IF(COLUMN()&gt;19,2,1))-IF(LEFT(J$7,2)="to",1,0),RatesTable[],IF(LEFT(J$7,2)="in",6,7),0))=0,"",VLOOKUP($B30&amp;$C30&amp;$C30+MID(J$7,4,IF(COLUMN()&gt;19,2,1))-IF(LEFT(J$7,2)="to",1,0),RatesTable[],IF(LEFT(J$7,2)="in",6,7),0)),"")</f>
        <v>0.24299999999999999</v>
      </c>
      <c r="K30" s="71">
        <f>IFERROR(IF(LEN(VLOOKUP($B30&amp;$C30&amp;$C30+MID(K$7,4,IF(COLUMN()&gt;19,2,1))-IF(LEFT(K$7,2)="to",1,0),RatesTable[],IF(LEFT(K$7,2)="in",6,7),0))=0,"",VLOOKUP($B30&amp;$C30&amp;$C30+MID(K$7,4,IF(COLUMN()&gt;19,2,1))-IF(LEFT(K$7,2)="to",1,0),RatesTable[],IF(LEFT(K$7,2)="in",6,7),0)),"")</f>
        <v>0.191</v>
      </c>
      <c r="L30" s="71">
        <f>IFERROR(IF(LEN(VLOOKUP($B30&amp;$C30&amp;$C30+MID(L$7,4,IF(COLUMN()&gt;19,2,1))-IF(LEFT(L$7,2)="to",1,0),RatesTable[],IF(LEFT(L$7,2)="in",6,7),0))=0,"",VLOOKUP($B30&amp;$C30&amp;$C30+MID(L$7,4,IF(COLUMN()&gt;19,2,1))-IF(LEFT(L$7,2)="to",1,0),RatesTable[],IF(LEFT(L$7,2)="in",6,7),0)),"")</f>
        <v>7.3999999999999996E-2</v>
      </c>
      <c r="M30" s="71">
        <f>IFERROR(IF(LEN(VLOOKUP($B30&amp;$C30&amp;$C30+MID(M$7,4,IF(COLUMN()&gt;19,2,1))-IF(LEFT(M$7,2)="to",1,0),RatesTable[],IF(LEFT(M$7,2)="in",6,7),0))=0,"",VLOOKUP($B30&amp;$C30&amp;$C30+MID(M$7,4,IF(COLUMN()&gt;19,2,1))-IF(LEFT(M$7,2)="to",1,0),RatesTable[],IF(LEFT(M$7,2)="in",6,7),0)),"")</f>
        <v>0.22700000000000001</v>
      </c>
      <c r="N30" s="71">
        <f>IFERROR(IF(LEN(VLOOKUP($B30&amp;$C30&amp;$C30+MID(N$7,4,IF(COLUMN()&gt;19,2,1))-IF(LEFT(N$7,2)="to",1,0),RatesTable[],IF(LEFT(N$7,2)="in",6,7),0))=0,"",VLOOKUP($B30&amp;$C30&amp;$C30+MID(N$7,4,IF(COLUMN()&gt;19,2,1))-IF(LEFT(N$7,2)="to",1,0),RatesTable[],IF(LEFT(N$7,2)="in",6,7),0)),"")</f>
        <v>2.3E-2</v>
      </c>
      <c r="O30" s="69">
        <f>IFERROR(IF(LEN(VLOOKUP($B30&amp;$C30&amp;$C30+MID(O$7,4,IF(COLUMN()&gt;19,2,1))-IF(LEFT(O$7,2)="to",1,0),RatesTable[],IF(LEFT(O$7,2)="in",6,7),0))=0,"",VLOOKUP($B30&amp;$C30&amp;$C30+MID(O$7,4,IF(COLUMN()&gt;19,2,1))-IF(LEFT(O$7,2)="to",1,0),RatesTable[],IF(LEFT(O$7,2)="in",6,7),0)),"")</f>
        <v>0.23899999999999999</v>
      </c>
      <c r="P30" s="69">
        <f>IFERROR(IF(LEN(VLOOKUP($B30&amp;$C30&amp;$C30+MID(P$7,4,IF(COLUMN()&gt;19,2,1))-IF(LEFT(P$7,2)="to",1,0),RatesTable[],IF(LEFT(P$7,2)="in",6,7),0))=0,"",VLOOKUP($B30&amp;$C30&amp;$C30+MID(P$7,4,IF(COLUMN()&gt;19,2,1))-IF(LEFT(P$7,2)="to",1,0),RatesTable[],IF(LEFT(P$7,2)="in",6,7),0)),"")</f>
        <v>0.02</v>
      </c>
      <c r="Q30" s="71">
        <f>112/444</f>
        <v>0.25225225225225223</v>
      </c>
      <c r="R30" s="71">
        <f>10/444</f>
        <v>2.2522522522522521E-2</v>
      </c>
      <c r="V30" s="123"/>
      <c r="W30" s="137"/>
      <c r="X30" s="221"/>
      <c r="Y30" s="162"/>
    </row>
    <row r="31" spans="1:33" ht="15" customHeight="1" x14ac:dyDescent="0.2">
      <c r="A31" s="141" t="str">
        <f t="shared" si="0"/>
        <v>0053</v>
      </c>
      <c r="B31" s="101" t="s">
        <v>54</v>
      </c>
      <c r="C31" s="102">
        <v>2007</v>
      </c>
      <c r="D31" s="60">
        <f>IFERROR(IF(LEN(VLOOKUP($B31&amp;$C31,HeadcountAndScoresTable[],IF(D$7="Count",5,IF(D$7="ACT",6,7)),0))=0,"",VLOOKUP($B31&amp;$C31,HeadcountAndScoresTable[],IF(D$7="Count",5,IF(D$7="ACT",6,7)),0)),"")</f>
        <v>465</v>
      </c>
      <c r="E31" s="98">
        <f>IFERROR(IF(LEN(VLOOKUP($B31&amp;$C31,HeadcountAndScoresTable[],IF(E$7="Count",5,IF(E$7="ACT",6,7)),0))=0,"",VLOOKUP($B31&amp;$C31,HeadcountAndScoresTable[],IF(E$7="Count",5,IF(E$7="ACT",6,7)),0)),"")</f>
        <v>20.8</v>
      </c>
      <c r="F31" s="99" t="str">
        <f>IFERROR(IF(LEN(VLOOKUP($B31&amp;$C31,HeadcountAndScoresTable[],IF(F$7="Count",5,IF(F$7="ACT",6,7)),0))=0,"",VLOOKUP($B31&amp;$C31,HeadcountAndScoresTable[],IF(F$7="Count",5,IF(F$7="ACT",6,7)),0)),"")</f>
        <v/>
      </c>
      <c r="G31" s="100">
        <f>IFERROR(IF(LEN(VLOOKUP($B31&amp;$C31&amp;$C31+MID(G$7,4,IF(COLUMN()&gt;19,2,1))-IF(LEFT(G$7,2)="to",1,0),RatesTable[],IF(LEFT(G$7,2)="in",6,7),0))=0,"",VLOOKUP($B31&amp;$C31&amp;$C31+MID(G$7,4,IF(COLUMN()&gt;19,2,1))-IF(LEFT(G$7,2)="to",1,0),RatesTable[],IF(LEFT(G$7,2)="in",6,7),0)),"")</f>
        <v>0.61499999999999999</v>
      </c>
      <c r="H31" s="71">
        <f>IFERROR(IF(LEN(VLOOKUP($B31&amp;$C31&amp;$C31+MID(H$7,4,IF(COLUMN()&gt;19,2,1))-IF(LEFT(H$7,2)="to",1,0),RatesTable[],IF(LEFT(H$7,2)="in",6,7),0))=0,"",VLOOKUP($B31&amp;$C31&amp;$C31+MID(H$7,4,IF(COLUMN()&gt;19,2,1))-IF(LEFT(H$7,2)="to",1,0),RatesTable[],IF(LEFT(H$7,2)="in",6,7),0)),"")</f>
        <v>0.39100000000000001</v>
      </c>
      <c r="I31" s="71">
        <f>IFERROR(IF(LEN(VLOOKUP($B31&amp;$C31&amp;$C31+MID(I$7,4,IF(COLUMN()&gt;19,2,1))-IF(LEFT(I$7,2)="to",1,0),RatesTable[],IF(LEFT(I$7,2)="in",6,7),0))=0,"",VLOOKUP($B31&amp;$C31&amp;$C31+MID(I$7,4,IF(COLUMN()&gt;19,2,1))-IF(LEFT(I$7,2)="to",1,0),RatesTable[],IF(LEFT(I$7,2)="in",6,7),0)),"")</f>
        <v>6.7000000000000004E-2</v>
      </c>
      <c r="J31" s="71">
        <f>IFERROR(IF(LEN(VLOOKUP($B31&amp;$C31&amp;$C31+MID(J$7,4,IF(COLUMN()&gt;19,2,1))-IF(LEFT(J$7,2)="to",1,0),RatesTable[],IF(LEFT(J$7,2)="in",6,7),0))=0,"",VLOOKUP($B31&amp;$C31&amp;$C31+MID(J$7,4,IF(COLUMN()&gt;19,2,1))-IF(LEFT(J$7,2)="to",1,0),RatesTable[],IF(LEFT(J$7,2)="in",6,7),0)),"")</f>
        <v>0.26200000000000001</v>
      </c>
      <c r="K31" s="71">
        <f>IFERROR(IF(LEN(VLOOKUP($B31&amp;$C31&amp;$C31+MID(K$7,4,IF(COLUMN()&gt;19,2,1))-IF(LEFT(K$7,2)="to",1,0),RatesTable[],IF(LEFT(K$7,2)="in",6,7),0))=0,"",VLOOKUP($B31&amp;$C31&amp;$C31+MID(K$7,4,IF(COLUMN()&gt;19,2,1))-IF(LEFT(K$7,2)="to",1,0),RatesTable[],IF(LEFT(K$7,2)="in",6,7),0)),"")</f>
        <v>0.191</v>
      </c>
      <c r="L31" s="71">
        <f>IFERROR(IF(LEN(VLOOKUP($B31&amp;$C31&amp;$C31+MID(L$7,4,IF(COLUMN()&gt;19,2,1))-IF(LEFT(L$7,2)="to",1,0),RatesTable[],IF(LEFT(L$7,2)="in",6,7),0))=0,"",VLOOKUP($B31&amp;$C31&amp;$C31+MID(L$7,4,IF(COLUMN()&gt;19,2,1))-IF(LEFT(L$7,2)="to",1,0),RatesTable[],IF(LEFT(L$7,2)="in",6,7),0)),"")</f>
        <v>0.08</v>
      </c>
      <c r="M31" s="69">
        <f>IFERROR(IF(LEN(VLOOKUP($B31&amp;$C31&amp;$C31+MID(M$7,4,IF(COLUMN()&gt;19,2,1))-IF(LEFT(M$7,2)="to",1,0),RatesTable[],IF(LEFT(M$7,2)="in",6,7),0))=0,"",VLOOKUP($B31&amp;$C31&amp;$C31+MID(M$7,4,IF(COLUMN()&gt;19,2,1))-IF(LEFT(M$7,2)="to",1,0),RatesTable[],IF(LEFT(M$7,2)="in",6,7),0)),"")</f>
        <v>0.23899999999999999</v>
      </c>
      <c r="N31" s="69">
        <f>IFERROR(IF(LEN(VLOOKUP($B31&amp;$C31&amp;$C31+MID(N$7,4,IF(COLUMN()&gt;19,2,1))-IF(LEFT(N$7,2)="to",1,0),RatesTable[],IF(LEFT(N$7,2)="in",6,7),0))=0,"",VLOOKUP($B31&amp;$C31&amp;$C31+MID(N$7,4,IF(COLUMN()&gt;19,2,1))-IF(LEFT(N$7,2)="to",1,0),RatesTable[],IF(LEFT(N$7,2)="in",6,7),0)),"")</f>
        <v>6.5000000000000002E-2</v>
      </c>
      <c r="O31" s="71">
        <f>125/465</f>
        <v>0.26881720430107525</v>
      </c>
      <c r="P31" s="71">
        <f>17/465</f>
        <v>3.6559139784946237E-2</v>
      </c>
      <c r="V31" s="123"/>
      <c r="W31" s="16"/>
      <c r="X31" s="221"/>
      <c r="Y31" s="162"/>
    </row>
    <row r="32" spans="1:33" ht="15" customHeight="1" x14ac:dyDescent="0.2">
      <c r="A32" s="141" t="str">
        <f t="shared" si="0"/>
        <v>0053</v>
      </c>
      <c r="B32" s="101" t="s">
        <v>54</v>
      </c>
      <c r="C32" s="102">
        <v>2008</v>
      </c>
      <c r="D32" s="60">
        <f>IFERROR(IF(LEN(VLOOKUP($B32&amp;$C32,HeadcountAndScoresTable[],IF(D$7="Count",5,IF(D$7="ACT",6,7)),0))=0,"",VLOOKUP($B32&amp;$C32,HeadcountAndScoresTable[],IF(D$7="Count",5,IF(D$7="ACT",6,7)),0)),"")</f>
        <v>455</v>
      </c>
      <c r="E32" s="98">
        <f>IFERROR(IF(LEN(VLOOKUP($B32&amp;$C32,HeadcountAndScoresTable[],IF(E$7="Count",5,IF(E$7="ACT",6,7)),0))=0,"",VLOOKUP($B32&amp;$C32,HeadcountAndScoresTable[],IF(E$7="Count",5,IF(E$7="ACT",6,7)),0)),"")</f>
        <v>21</v>
      </c>
      <c r="F32" s="99" t="str">
        <f>IFERROR(IF(LEN(VLOOKUP($B32&amp;$C32,HeadcountAndScoresTable[],IF(F$7="Count",5,IF(F$7="ACT",6,7)),0))=0,"",VLOOKUP($B32&amp;$C32,HeadcountAndScoresTable[],IF(F$7="Count",5,IF(F$7="ACT",6,7)),0)),"")</f>
        <v/>
      </c>
      <c r="G32" s="100">
        <f>IFERROR(IF(LEN(VLOOKUP($B32&amp;$C32&amp;$C32+MID(G$7,4,IF(COLUMN()&gt;19,2,1))-IF(LEFT(G$7,2)="to",1,0),RatesTable[],IF(LEFT(G$7,2)="in",6,7),0))=0,"",VLOOKUP($B32&amp;$C32&amp;$C32+MID(G$7,4,IF(COLUMN()&gt;19,2,1))-IF(LEFT(G$7,2)="to",1,0),RatesTable[],IF(LEFT(G$7,2)="in",6,7),0)),"")</f>
        <v>0.66400000000000003</v>
      </c>
      <c r="H32" s="71">
        <f>IFERROR(IF(LEN(VLOOKUP($B32&amp;$C32&amp;$C32+MID(H$7,4,IF(COLUMN()&gt;19,2,1))-IF(LEFT(H$7,2)="to",1,0),RatesTable[],IF(LEFT(H$7,2)="in",6,7),0))=0,"",VLOOKUP($B32&amp;$C32&amp;$C32+MID(H$7,4,IF(COLUMN()&gt;19,2,1))-IF(LEFT(H$7,2)="to",1,0),RatesTable[],IF(LEFT(H$7,2)="in",6,7),0)),"")</f>
        <v>0.51700000000000002</v>
      </c>
      <c r="I32" s="71">
        <f>IFERROR(IF(LEN(VLOOKUP($B32&amp;$C32&amp;$C32+MID(I$7,4,IF(COLUMN()&gt;19,2,1))-IF(LEFT(I$7,2)="to",1,0),RatesTable[],IF(LEFT(I$7,2)="in",6,7),0))=0,"",VLOOKUP($B32&amp;$C32&amp;$C32+MID(I$7,4,IF(COLUMN()&gt;19,2,1))-IF(LEFT(I$7,2)="to",1,0),RatesTable[],IF(LEFT(I$7,2)="in",6,7),0)),"")</f>
        <v>7.4999999999999997E-2</v>
      </c>
      <c r="J32" s="71">
        <f>IFERROR(IF(LEN(VLOOKUP($B32&amp;$C32&amp;$C32+MID(J$7,4,IF(COLUMN()&gt;19,2,1))-IF(LEFT(J$7,2)="to",1,0),RatesTable[],IF(LEFT(J$7,2)="in",6,7),0))=0,"",VLOOKUP($B32&amp;$C32&amp;$C32+MID(J$7,4,IF(COLUMN()&gt;19,2,1))-IF(LEFT(J$7,2)="to",1,0),RatesTable[],IF(LEFT(J$7,2)="in",6,7),0)),"")</f>
        <v>0.31900000000000001</v>
      </c>
      <c r="K32" s="69">
        <f>IFERROR(IF(LEN(VLOOKUP($B32&amp;$C32&amp;$C32+MID(K$7,4,IF(COLUMN()&gt;19,2,1))-IF(LEFT(K$7,2)="to",1,0),RatesTable[],IF(LEFT(K$7,2)="in",6,7),0))=0,"",VLOOKUP($B32&amp;$C32&amp;$C32+MID(K$7,4,IF(COLUMN()&gt;19,2,1))-IF(LEFT(K$7,2)="to",1,0),RatesTable[],IF(LEFT(K$7,2)="in",6,7),0)),"")</f>
        <v>0.224</v>
      </c>
      <c r="L32" s="69">
        <f>IFERROR(IF(LEN(VLOOKUP($B32&amp;$C32&amp;$C32+MID(L$7,4,IF(COLUMN()&gt;19,2,1))-IF(LEFT(L$7,2)="to",1,0),RatesTable[],IF(LEFT(L$7,2)="in",6,7),0))=0,"",VLOOKUP($B32&amp;$C32&amp;$C32+MID(L$7,4,IF(COLUMN()&gt;19,2,1))-IF(LEFT(L$7,2)="to",1,0),RatesTable[],IF(LEFT(L$7,2)="in",6,7),0)),"")</f>
        <v>0.15</v>
      </c>
      <c r="M32" s="71">
        <f>139/455</f>
        <v>0.30549450549450552</v>
      </c>
      <c r="N32" s="71">
        <f>35/455</f>
        <v>7.6923076923076927E-2</v>
      </c>
      <c r="O32" s="85"/>
      <c r="P32" s="85"/>
      <c r="V32" s="123"/>
      <c r="W32" s="16"/>
      <c r="X32" s="221"/>
      <c r="Y32" s="162"/>
    </row>
    <row r="33" spans="1:31" ht="15" customHeight="1" x14ac:dyDescent="0.2">
      <c r="A33" s="141" t="str">
        <f t="shared" si="0"/>
        <v>0053</v>
      </c>
      <c r="B33" s="101" t="s">
        <v>54</v>
      </c>
      <c r="C33" s="102">
        <v>2009</v>
      </c>
      <c r="D33" s="60">
        <f>IFERROR(IF(LEN(VLOOKUP($B33&amp;$C33,HeadcountAndScoresTable[],IF(D$7="Count",5,IF(D$7="ACT",6,7)),0))=0,"",VLOOKUP($B33&amp;$C33,HeadcountAndScoresTable[],IF(D$7="Count",5,IF(D$7="ACT",6,7)),0)),"")</f>
        <v>467</v>
      </c>
      <c r="E33" s="98">
        <f>IFERROR(IF(LEN(VLOOKUP($B33&amp;$C33,HeadcountAndScoresTable[],IF(E$7="Count",5,IF(E$7="ACT",6,7)),0))=0,"",VLOOKUP($B33&amp;$C33,HeadcountAndScoresTable[],IF(E$7="Count",5,IF(E$7="ACT",6,7)),0)),"")</f>
        <v>20.9</v>
      </c>
      <c r="F33" s="99" t="str">
        <f>IFERROR(IF(LEN(VLOOKUP($B33&amp;$C33,HeadcountAndScoresTable[],IF(F$7="Count",5,IF(F$7="ACT",6,7)),0))=0,"",VLOOKUP($B33&amp;$C33,HeadcountAndScoresTable[],IF(F$7="Count",5,IF(F$7="ACT",6,7)),0)),"")</f>
        <v/>
      </c>
      <c r="G33" s="100">
        <f>IFERROR(IF(LEN(VLOOKUP($B33&amp;$C33&amp;$C33+MID(G$7,4,IF(COLUMN()&gt;19,2,1))-IF(LEFT(G$7,2)="to",1,0),RatesTable[],IF(LEFT(G$7,2)="in",6,7),0))=0,"",VLOOKUP($B33&amp;$C33&amp;$C33+MID(G$7,4,IF(COLUMN()&gt;19,2,1))-IF(LEFT(G$7,2)="to",1,0),RatesTable[],IF(LEFT(G$7,2)="in",6,7),0)),"")</f>
        <v>0.6</v>
      </c>
      <c r="H33" s="71">
        <f>IFERROR(IF(LEN(VLOOKUP($B33&amp;$C33&amp;$C33+MID(H$7,4,IF(COLUMN()&gt;19,2,1))-IF(LEFT(H$7,2)="to",1,0),RatesTable[],IF(LEFT(H$7,2)="in",6,7),0))=0,"",VLOOKUP($B33&amp;$C33&amp;$C33+MID(H$7,4,IF(COLUMN()&gt;19,2,1))-IF(LEFT(H$7,2)="to",1,0),RatesTable[],IF(LEFT(H$7,2)="in",6,7),0)),"")</f>
        <v>0.45800000000000002</v>
      </c>
      <c r="I33" s="69">
        <f>IFERROR(IF(LEN(VLOOKUP($B33&amp;$C33&amp;$C33+MID(I$7,4,IF(COLUMN()&gt;19,2,1))-IF(LEFT(I$7,2)="to",1,0),RatesTable[],IF(LEFT(I$7,2)="in",6,7),0))=0,"",VLOOKUP($B33&amp;$C33&amp;$C33+MID(I$7,4,IF(COLUMN()&gt;19,2,1))-IF(LEFT(I$7,2)="to",1,0),RatesTable[],IF(LEFT(I$7,2)="in",6,7),0)),"")</f>
        <v>7.0999999999999994E-2</v>
      </c>
      <c r="J33" s="63">
        <f>IFERROR(IF(LEN(VLOOKUP($B33&amp;$C33&amp;$C33+MID(J$7,4,IF(COLUMN()&gt;19,2,1))-IF(LEFT(J$7,2)="to",1,0),RatesTable[],IF(LEFT(J$7,2)="in",6,7),0))=0,"",VLOOKUP($B33&amp;$C33&amp;$C33+MID(J$7,4,IF(COLUMN()&gt;19,2,1))-IF(LEFT(J$7,2)="to",1,0),RatesTable[],IF(LEFT(J$7,2)="in",6,7),0)),"")</f>
        <v>0.27800000000000002</v>
      </c>
      <c r="K33" s="71">
        <f>96/467</f>
        <v>0.20556745182012848</v>
      </c>
      <c r="L33" s="71">
        <f>50/467</f>
        <v>0.10706638115631692</v>
      </c>
      <c r="M33" s="88"/>
      <c r="N33" s="88"/>
      <c r="O33" s="86"/>
      <c r="P33" s="86"/>
      <c r="Q33" s="87"/>
      <c r="R33" s="87"/>
      <c r="V33" s="123"/>
      <c r="W33" s="16"/>
      <c r="X33" s="139"/>
      <c r="Y33" s="52"/>
    </row>
    <row r="34" spans="1:31" ht="15" customHeight="1" x14ac:dyDescent="0.2">
      <c r="A34" s="141" t="str">
        <f t="shared" si="0"/>
        <v>0053</v>
      </c>
      <c r="B34" s="101" t="s">
        <v>54</v>
      </c>
      <c r="C34" s="102">
        <v>2010</v>
      </c>
      <c r="D34" s="60">
        <f>IFERROR(IF(LEN(VLOOKUP($B34&amp;$C34,HeadcountAndScoresTable[],IF(D$7="Count",5,IF(D$7="ACT",6,7)),0))=0,"",VLOOKUP($B34&amp;$C34,HeadcountAndScoresTable[],IF(D$7="Count",5,IF(D$7="ACT",6,7)),0)),"")</f>
        <v>399</v>
      </c>
      <c r="E34" s="98">
        <f>IFERROR(IF(LEN(VLOOKUP($B34&amp;$C34,HeadcountAndScoresTable[],IF(E$7="Count",5,IF(E$7="ACT",6,7)),0))=0,"",VLOOKUP($B34&amp;$C34,HeadcountAndScoresTable[],IF(E$7="Count",5,IF(E$7="ACT",6,7)),0)),"")</f>
        <v>21.6</v>
      </c>
      <c r="F34" s="99" t="str">
        <f>IFERROR(IF(LEN(VLOOKUP($B34&amp;$C34,HeadcountAndScoresTable[],IF(F$7="Count",5,IF(F$7="ACT",6,7)),0))=0,"",VLOOKUP($B34&amp;$C34,HeadcountAndScoresTable[],IF(F$7="Count",5,IF(F$7="ACT",6,7)),0)),"")</f>
        <v/>
      </c>
      <c r="G34" s="100">
        <f>IFERROR(IF(LEN(VLOOKUP($B34&amp;$C34&amp;$C34+MID(G$7,4,IF(COLUMN()&gt;19,2,1))-IF(LEFT(G$7,2)="to",1,0),RatesTable[],IF(LEFT(G$7,2)="in",6,7),0))=0,"",VLOOKUP($B34&amp;$C34&amp;$C34+MID(G$7,4,IF(COLUMN()&gt;19,2,1))-IF(LEFT(G$7,2)="to",1,0),RatesTable[],IF(LEFT(G$7,2)="in",6,7),0)),"")</f>
        <v>0.66200000000000003</v>
      </c>
      <c r="H34" s="70">
        <f>IFERROR(IF(LEN(VLOOKUP($B34&amp;$C34&amp;$C34+MID(H$7,4,IF(COLUMN()&gt;19,2,1))-IF(LEFT(H$7,2)="to",1,0),RatesTable[],IF(LEFT(H$7,2)="in",6,7),0))=0,"",VLOOKUP($B34&amp;$C34&amp;$C34+MID(H$7,4,IF(COLUMN()&gt;19,2,1))-IF(LEFT(H$7,2)="to",1,0),RatesTable[],IF(LEFT(H$7,2)="in",6,7),0)),"")</f>
        <v>0.53600000000000003</v>
      </c>
      <c r="I34" s="71">
        <f>43/399</f>
        <v>0.10776942355889724</v>
      </c>
      <c r="J34" s="71">
        <f>132/399</f>
        <v>0.33082706766917291</v>
      </c>
      <c r="K34" s="88"/>
      <c r="L34" s="88"/>
      <c r="M34" s="88"/>
      <c r="N34" s="88"/>
      <c r="O34" s="86"/>
      <c r="P34" s="86"/>
      <c r="Q34" s="87"/>
      <c r="R34" s="87"/>
      <c r="V34" s="123"/>
      <c r="W34" s="16"/>
      <c r="X34" s="139"/>
      <c r="Y34" s="52"/>
    </row>
    <row r="35" spans="1:31" ht="15" customHeight="1" x14ac:dyDescent="0.2">
      <c r="A35" s="141" t="str">
        <f t="shared" si="0"/>
        <v>0053</v>
      </c>
      <c r="B35" s="101" t="s">
        <v>54</v>
      </c>
      <c r="C35" s="102">
        <v>2011</v>
      </c>
      <c r="D35" s="60">
        <f>IFERROR(IF(LEN(VLOOKUP($B35&amp;$C35,HeadcountAndScoresTable[],IF(D$7="Count",5,IF(D$7="ACT",6,7)),0))=0,"",VLOOKUP($B35&amp;$C35,HeadcountAndScoresTable[],IF(D$7="Count",5,IF(D$7="ACT",6,7)),0)),"")</f>
        <v>370</v>
      </c>
      <c r="E35" s="98">
        <f>IFERROR(IF(LEN(VLOOKUP($B35&amp;$C35,HeadcountAndScoresTable[],IF(E$7="Count",5,IF(E$7="ACT",6,7)),0))=0,"",VLOOKUP($B35&amp;$C35,HeadcountAndScoresTable[],IF(E$7="Count",5,IF(E$7="ACT",6,7)),0)),"")</f>
        <v>21.6</v>
      </c>
      <c r="F35" s="99" t="str">
        <f>IFERROR(IF(LEN(VLOOKUP($B35&amp;$C35,HeadcountAndScoresTable[],IF(F$7="Count",5,IF(F$7="ACT",6,7)),0))=0,"",VLOOKUP($B35&amp;$C35,HeadcountAndScoresTable[],IF(F$7="Count",5,IF(F$7="ACT",6,7)),0)),"")</f>
        <v/>
      </c>
      <c r="G35" s="100">
        <f>IFERROR(IF(LEN(VLOOKUP($B35&amp;$C35&amp;$C35+MID(G$7,4,IF(COLUMN()&gt;19,2,1))-IF(LEFT(G$7,2)="to",1,0),RatesTable[],IF(LEFT(G$7,2)="in",6,7),0))=0,"",VLOOKUP($B35&amp;$C35&amp;$C35+MID(G$7,4,IF(COLUMN()&gt;19,2,1))-IF(LEFT(G$7,2)="to",1,0),RatesTable[],IF(LEFT(G$7,2)="in",6,7),0)),"")</f>
        <v>0.61899999999999999</v>
      </c>
      <c r="H35" s="71">
        <f>IFERROR(IF(LEN(VLOOKUP($B35&amp;$C35&amp;$C35+MID(H$7,4,IF(COLUMN()&gt;19,2,1))-IF(LEFT(H$7,2)="to",1,0),RatesTable[],IF(LEFT(H$7,2)="in",6,7),0))=0,"",VLOOKUP($B35&amp;$C35&amp;$C35+MID(H$7,4,IF(COLUMN()&gt;19,2,1))-IF(LEFT(H$7,2)="to",1,0),RatesTable[],IF(LEFT(H$7,2)="in",6,7),0)),"")</f>
        <v>0.48899999999999999</v>
      </c>
      <c r="I35" s="88"/>
      <c r="J35" s="88"/>
      <c r="K35" s="88"/>
      <c r="L35" s="88"/>
      <c r="M35" s="88"/>
      <c r="N35" s="88"/>
      <c r="O35" s="86"/>
      <c r="P35" s="86"/>
      <c r="Q35" s="87"/>
      <c r="R35" s="87"/>
      <c r="V35" s="123"/>
      <c r="W35" s="16"/>
      <c r="X35" s="139"/>
      <c r="Y35" s="52"/>
    </row>
    <row r="36" spans="1:31" ht="15" customHeight="1" x14ac:dyDescent="0.2">
      <c r="A36" s="141" t="str">
        <f t="shared" si="0"/>
        <v>0053</v>
      </c>
      <c r="B36" s="101" t="s">
        <v>54</v>
      </c>
      <c r="C36" s="102">
        <v>2012</v>
      </c>
      <c r="D36" s="60">
        <f>IFERROR(IF(LEN(VLOOKUP($B36&amp;$C36,HeadcountAndScoresTable[],IF(D$7="Count",5,IF(D$7="ACT",6,7)),0))=0,"",VLOOKUP($B36&amp;$C36,HeadcountAndScoresTable[],IF(D$7="Count",5,IF(D$7="ACT",6,7)),0)),"")</f>
        <v>456</v>
      </c>
      <c r="E36" s="98">
        <f>IFERROR(IF(LEN(VLOOKUP($B36&amp;$C36,HeadcountAndScoresTable[],IF(E$7="Count",5,IF(E$7="ACT",6,7)),0))=0,"",VLOOKUP($B36&amp;$C36,HeadcountAndScoresTable[],IF(E$7="Count",5,IF(E$7="ACT",6,7)),0)),"")</f>
        <v>21.3</v>
      </c>
      <c r="F36" s="99" t="str">
        <f>IFERROR(IF(LEN(VLOOKUP($B36&amp;$C36,HeadcountAndScoresTable[],IF(F$7="Count",5,IF(F$7="ACT",6,7)),0))=0,"",VLOOKUP($B36&amp;$C36,HeadcountAndScoresTable[],IF(F$7="Count",5,IF(F$7="ACT",6,7)),0)),"")</f>
        <v/>
      </c>
      <c r="G36" s="100">
        <f>IFERROR(IF(LEN(VLOOKUP($B36&amp;$C36&amp;$C36+MID(G$7,4,IF(COLUMN()&gt;19,2,1))-IF(LEFT(G$7,2)="to",1,0),RatesTable[],IF(LEFT(G$7,2)="in",6,7),0))=0,"",VLOOKUP($B36&amp;$C36&amp;$C36+MID(G$7,4,IF(COLUMN()&gt;19,2,1))-IF(LEFT(G$7,2)="to",1,0),RatesTable[],IF(LEFT(G$7,2)="in",6,7),0)),"")</f>
        <v>0.67300000000000004</v>
      </c>
      <c r="H36" s="71">
        <f>260/456</f>
        <v>0.57017543859649122</v>
      </c>
      <c r="I36" s="88"/>
      <c r="J36" s="88"/>
      <c r="K36" s="88"/>
      <c r="L36" s="88"/>
      <c r="M36" s="88"/>
      <c r="N36" s="88"/>
      <c r="O36" s="86"/>
      <c r="P36" s="86"/>
      <c r="Q36" s="87"/>
      <c r="R36" s="87"/>
      <c r="V36" s="123"/>
      <c r="W36" s="16"/>
      <c r="X36" s="139"/>
      <c r="Y36" s="52"/>
    </row>
    <row r="37" spans="1:31" ht="15" customHeight="1" x14ac:dyDescent="0.2">
      <c r="A37" s="141" t="str">
        <f t="shared" si="0"/>
        <v>0053</v>
      </c>
      <c r="B37" s="101" t="s">
        <v>54</v>
      </c>
      <c r="C37" s="97">
        <v>2013</v>
      </c>
      <c r="D37" s="60">
        <v>388</v>
      </c>
      <c r="E37" s="98">
        <v>21.8</v>
      </c>
      <c r="F37" s="99" t="str">
        <f>IFERROR(IF(LEN(VLOOKUP($B37&amp;$C37,HeadcountAndScoresTable[],IF(F$7="Count",5,IF(F$7="ACT",6,7)),0))=0,"",VLOOKUP($B37&amp;$C37,HeadcountAndScoresTable[],IF(F$7="Count",5,IF(F$7="ACT",6,7)),0)),"")</f>
        <v/>
      </c>
      <c r="G37" s="100">
        <f>270/388</f>
        <v>0.69587628865979378</v>
      </c>
      <c r="H37" s="88"/>
      <c r="I37" s="88"/>
      <c r="J37" s="88"/>
      <c r="K37" s="88"/>
      <c r="L37" s="88"/>
      <c r="M37" s="88"/>
      <c r="N37" s="88"/>
      <c r="O37" s="86"/>
      <c r="P37" s="86"/>
      <c r="Q37" s="87"/>
      <c r="R37" s="87"/>
      <c r="V37" s="123"/>
      <c r="W37" s="16"/>
      <c r="X37" s="139"/>
      <c r="Y37" s="52"/>
    </row>
    <row r="38" spans="1:31" ht="15" customHeight="1" x14ac:dyDescent="0.2">
      <c r="A38" s="141" t="str">
        <f t="shared" si="0"/>
        <v>0053</v>
      </c>
      <c r="B38" s="101" t="s">
        <v>58</v>
      </c>
      <c r="C38" s="102">
        <v>2004</v>
      </c>
      <c r="D38" s="60">
        <f>IFERROR(IF(LEN(VLOOKUP($B38&amp;$C38,HeadcountAndScoresTable[],IF(D$7="Count",5,IF(D$7="ACT",6,7)),0))=0,"",VLOOKUP($B38&amp;$C38,HeadcountAndScoresTable[],IF(D$7="Count",5,IF(D$7="ACT",6,7)),0)),"")</f>
        <v>76</v>
      </c>
      <c r="E38" s="98">
        <f>IFERROR(IF(LEN(VLOOKUP($B38&amp;$C38,HeadcountAndScoresTable[],IF(E$7="Count",5,IF(E$7="ACT",6,7)),0))=0,"",VLOOKUP($B38&amp;$C38,HeadcountAndScoresTable[],IF(E$7="Count",5,IF(E$7="ACT",6,7)),0)),"")</f>
        <v>17.7</v>
      </c>
      <c r="F38" s="99" t="str">
        <f>IFERROR(IF(LEN(VLOOKUP($B38&amp;$C38,HeadcountAndScoresTable[],IF(F$7="Count",5,IF(F$7="ACT",6,7)),0))=0,"",VLOOKUP($B38&amp;$C38,HeadcountAndScoresTable[],IF(F$7="Count",5,IF(F$7="ACT",6,7)),0)),"")</f>
        <v/>
      </c>
      <c r="G38" s="100">
        <f>IFERROR(IF(LEN(VLOOKUP($B38&amp;$C38&amp;$C38+MID(G$7,4,IF(COLUMN()&gt;19,2,1))-IF(LEFT(G$7,2)="to",1,0),RatesTable[],IF(LEFT(G$7,2)="in",6,7),0))=0,"",VLOOKUP($B38&amp;$C38&amp;$C38+MID(G$7,4,IF(COLUMN()&gt;19,2,1))-IF(LEFT(G$7,2)="to",1,0),RatesTable[],IF(LEFT(G$7,2)="in",6,7),0)),"")</f>
        <v>0.53900000000000003</v>
      </c>
      <c r="H38" s="71">
        <f>IFERROR(IF(LEN(VLOOKUP($B38&amp;$C38&amp;$C38+MID(H$7,4,IF(COLUMN()&gt;19,2,1))-IF(LEFT(H$7,2)="to",1,0),RatesTable[],IF(LEFT(H$7,2)="in",6,7),0))=0,"",VLOOKUP($B38&amp;$C38&amp;$C38+MID(H$7,4,IF(COLUMN()&gt;19,2,1))-IF(LEFT(H$7,2)="to",1,0),RatesTable[],IF(LEFT(H$7,2)="in",6,7),0)),"")</f>
        <v>0.26300000000000001</v>
      </c>
      <c r="I38" s="71">
        <f>IFERROR(IF(LEN(VLOOKUP($B38&amp;$C38&amp;$C38+MID(I$7,4,IF(COLUMN()&gt;19,2,1))-IF(LEFT(I$7,2)="to",1,0),RatesTable[],IF(LEFT(I$7,2)="in",6,7),0))=0,"",VLOOKUP($B38&amp;$C38&amp;$C38+MID(I$7,4,IF(COLUMN()&gt;19,2,1))-IF(LEFT(I$7,2)="to",1,0),RatesTable[],IF(LEFT(I$7,2)="in",6,7),0)),"")</f>
        <v>5.2999999999999999E-2</v>
      </c>
      <c r="J38" s="71">
        <f>IFERROR(IF(LEN(VLOOKUP($B38&amp;$C38&amp;$C38+MID(J$7,4,IF(COLUMN()&gt;19,2,1))-IF(LEFT(J$7,2)="to",1,0),RatesTable[],IF(LEFT(J$7,2)="in",6,7),0))=0,"",VLOOKUP($B38&amp;$C38&amp;$C38+MID(J$7,4,IF(COLUMN()&gt;19,2,1))-IF(LEFT(J$7,2)="to",1,0),RatesTable[],IF(LEFT(J$7,2)="in",6,7),0)),"")</f>
        <v>0.11799999999999999</v>
      </c>
      <c r="K38" s="71">
        <f>IFERROR(IF(LEN(VLOOKUP($B38&amp;$C38&amp;$C38+MID(K$7,4,IF(COLUMN()&gt;19,2,1))-IF(LEFT(K$7,2)="to",1,0),RatesTable[],IF(LEFT(K$7,2)="in",6,7),0))=0,"",VLOOKUP($B38&amp;$C38&amp;$C38+MID(K$7,4,IF(COLUMN()&gt;19,2,1))-IF(LEFT(K$7,2)="to",1,0),RatesTable[],IF(LEFT(K$7,2)="in",6,7),0)),"")</f>
        <v>0.105</v>
      </c>
      <c r="L38" s="71">
        <f>IFERROR(IF(LEN(VLOOKUP($B38&amp;$C38&amp;$C38+MID(L$7,4,IF(COLUMN()&gt;19,2,1))-IF(LEFT(L$7,2)="to",1,0),RatesTable[],IF(LEFT(L$7,2)="in",6,7),0))=0,"",VLOOKUP($B38&amp;$C38&amp;$C38+MID(L$7,4,IF(COLUMN()&gt;19,2,1))-IF(LEFT(L$7,2)="to",1,0),RatesTable[],IF(LEFT(L$7,2)="in",6,7),0)),"")</f>
        <v>2.5999999999999999E-2</v>
      </c>
      <c r="M38" s="69">
        <f>IFERROR(IF(LEN(VLOOKUP($B38&amp;$C38&amp;$C38+MID(M$7,4,IF(COLUMN()&gt;19,2,1))-IF(LEFT(M$7,2)="to",1,0),RatesTable[],IF(LEFT(M$7,2)="in",6,7),0))=0,"",VLOOKUP($B38&amp;$C38&amp;$C38+MID(M$7,4,IF(COLUMN()&gt;19,2,1))-IF(LEFT(M$7,2)="to",1,0),RatesTable[],IF(LEFT(M$7,2)="in",6,7),0)),"")</f>
        <v>0.105</v>
      </c>
      <c r="N38" s="69">
        <f>IFERROR(IF(LEN(VLOOKUP($B38&amp;$C38&amp;$C38+MID(N$7,4,IF(COLUMN()&gt;19,2,1))-IF(LEFT(N$7,2)="to",1,0),RatesTable[],IF(LEFT(N$7,2)="in",6,7),0))=0,"",VLOOKUP($B38&amp;$C38&amp;$C38+MID(N$7,4,IF(COLUMN()&gt;19,2,1))-IF(LEFT(N$7,2)="to",1,0),RatesTable[],IF(LEFT(N$7,2)="in",6,7),0)),"")</f>
        <v>3.9E-2</v>
      </c>
      <c r="O38" s="69">
        <f>IFERROR(IF(LEN(VLOOKUP($B38&amp;$C38&amp;$C38+MID(O$7,4,IF(COLUMN()&gt;19,2,1))-IF(LEFT(O$7,2)="to",1,0),RatesTable[],IF(LEFT(O$7,2)="in",6,7),0))=0,"",VLOOKUP($B38&amp;$C38&amp;$C38+MID(O$7,4,IF(COLUMN()&gt;19,2,1))-IF(LEFT(O$7,2)="to",1,0),RatesTable[],IF(LEFT(O$7,2)="in",6,7),0)),"")</f>
        <v>0.11799999999999999</v>
      </c>
      <c r="P38" s="69">
        <f>IFERROR(IF(LEN(VLOOKUP($B38&amp;$C38&amp;$C38+MID(P$7,4,IF(COLUMN()&gt;19,2,1))-IF(LEFT(P$7,2)="to",1,0),RatesTable[],IF(LEFT(P$7,2)="in",6,7),0))=0,"",VLOOKUP($B38&amp;$C38&amp;$C38+MID(P$7,4,IF(COLUMN()&gt;19,2,1))-IF(LEFT(P$7,2)="to",1,0),RatesTable[],IF(LEFT(P$7,2)="in",6,7),0)),"")</f>
        <v>1.2999999999999999E-2</v>
      </c>
      <c r="Q38" s="69">
        <f>IFERROR(IF(LEN(VLOOKUP($B38&amp;$C38&amp;$C38+MID(Q$7,4,IF(COLUMN()&gt;19,2,1))-IF(LEFT(Q$7,2)="to",1,0),RatesTable[],IF(LEFT(Q$7,2)="in",6,7),0))=0,"",VLOOKUP($B38&amp;$C38&amp;$C38+MID(Q$7,4,IF(COLUMN()&gt;19,2,1))-IF(LEFT(Q$7,2)="to",1,0),RatesTable[],IF(LEFT(Q$7,2)="in",6,7),0)),"")</f>
        <v>0.11799999999999999</v>
      </c>
      <c r="R38" s="69">
        <f>IFERROR(IF(LEN(VLOOKUP($B38&amp;$C38&amp;$C38+MID(R$7,4,IF(COLUMN()&gt;19,2,1))-IF(LEFT(R$7,2)="to",1,0),RatesTable[],IF(LEFT(R$7,2)="in",6,7),0))=0,"",VLOOKUP($B38&amp;$C38&amp;$C38+MID(R$7,4,IF(COLUMN()&gt;19,2,1))-IF(LEFT(R$7,2)="to",1,0),RatesTable[],IF(LEFT(R$7,2)="in",6,7),0)),"")</f>
        <v>0</v>
      </c>
      <c r="S38" s="69">
        <f>IFERROR(IF(LEN(VLOOKUP($B38&amp;$C38&amp;$C38+MID(S$7,4,IF(COLUMN()&gt;19,2,1))-IF(LEFT(S$7,2)="to",1,0),RatesTable[],IF(LEFT(S$7,2)="in",6,7),0))=0,"",VLOOKUP($B38&amp;$C38&amp;$C38+MID(S$7,4,IF(COLUMN()&gt;19,2,1))-IF(LEFT(S$7,2)="to",1,0),RatesTable[],IF(LEFT(S$7,2)="in",6,7),0)),"")</f>
        <v>0.13200000000000001</v>
      </c>
      <c r="T38" s="69">
        <f>IFERROR(IF(LEN(VLOOKUP($B38&amp;$C38&amp;$C38+MID(T$7,4,IF(COLUMN()&gt;19,2,1))-IF(LEFT(T$7,2)="to",1,0),RatesTable[],IF(LEFT(T$7,2)="in",6,7),0))=0,"",VLOOKUP($B38&amp;$C38&amp;$C38+MID(T$7,4,IF(COLUMN()&gt;19,2,1))-IF(LEFT(T$7,2)="to",1,0),RatesTable[],IF(LEFT(T$7,2)="in",6,7),0)),"")</f>
        <v>2.5999999999999999E-2</v>
      </c>
      <c r="U38" s="71">
        <f>10/76</f>
        <v>0.13157894736842105</v>
      </c>
      <c r="V38" s="124">
        <v>0</v>
      </c>
      <c r="W38" s="16"/>
      <c r="X38" s="139"/>
      <c r="Y38" s="16"/>
      <c r="AC38" s="221"/>
    </row>
    <row r="39" spans="1:31" ht="15" customHeight="1" x14ac:dyDescent="0.2">
      <c r="A39" s="141" t="str">
        <f t="shared" si="0"/>
        <v>0053</v>
      </c>
      <c r="B39" s="101" t="s">
        <v>58</v>
      </c>
      <c r="C39" s="102">
        <v>2005</v>
      </c>
      <c r="D39" s="60">
        <f>IFERROR(IF(LEN(VLOOKUP($B39&amp;$C39,HeadcountAndScoresTable[],IF(D$7="Count",5,IF(D$7="ACT",6,7)),0))=0,"",VLOOKUP($B39&amp;$C39,HeadcountAndScoresTable[],IF(D$7="Count",5,IF(D$7="ACT",6,7)),0)),"")</f>
        <v>118</v>
      </c>
      <c r="E39" s="98">
        <f>IFERROR(IF(LEN(VLOOKUP($B39&amp;$C39,HeadcountAndScoresTable[],IF(E$7="Count",5,IF(E$7="ACT",6,7)),0))=0,"",VLOOKUP($B39&amp;$C39,HeadcountAndScoresTable[],IF(E$7="Count",5,IF(E$7="ACT",6,7)),0)),"")</f>
        <v>17.399999999999999</v>
      </c>
      <c r="F39" s="99" t="str">
        <f>IFERROR(IF(LEN(VLOOKUP($B39&amp;$C39,HeadcountAndScoresTable[],IF(F$7="Count",5,IF(F$7="ACT",6,7)),0))=0,"",VLOOKUP($B39&amp;$C39,HeadcountAndScoresTable[],IF(F$7="Count",5,IF(F$7="ACT",6,7)),0)),"")</f>
        <v/>
      </c>
      <c r="G39" s="100">
        <f>IFERROR(IF(LEN(VLOOKUP($B39&amp;$C39&amp;$C39+MID(G$7,4,IF(COLUMN()&gt;19,2,1))-IF(LEFT(G$7,2)="to",1,0),RatesTable[],IF(LEFT(G$7,2)="in",6,7),0))=0,"",VLOOKUP($B39&amp;$C39&amp;$C39+MID(G$7,4,IF(COLUMN()&gt;19,2,1))-IF(LEFT(G$7,2)="to",1,0),RatesTable[],IF(LEFT(G$7,2)="in",6,7),0)),"")</f>
        <v>0.59299999999999997</v>
      </c>
      <c r="H39" s="71">
        <f>IFERROR(IF(LEN(VLOOKUP($B39&amp;$C39&amp;$C39+MID(H$7,4,IF(COLUMN()&gt;19,2,1))-IF(LEFT(H$7,2)="to",1,0),RatesTable[],IF(LEFT(H$7,2)="in",6,7),0))=0,"",VLOOKUP($B39&amp;$C39&amp;$C39+MID(H$7,4,IF(COLUMN()&gt;19,2,1))-IF(LEFT(H$7,2)="to",1,0),RatesTable[],IF(LEFT(H$7,2)="in",6,7),0)),"")</f>
        <v>0.39800000000000002</v>
      </c>
      <c r="I39" s="71">
        <f>IFERROR(IF(LEN(VLOOKUP($B39&amp;$C39&amp;$C39+MID(I$7,4,IF(COLUMN()&gt;19,2,1))-IF(LEFT(I$7,2)="to",1,0),RatesTable[],IF(LEFT(I$7,2)="in",6,7),0))=0,"",VLOOKUP($B39&amp;$C39&amp;$C39+MID(I$7,4,IF(COLUMN()&gt;19,2,1))-IF(LEFT(I$7,2)="to",1,0),RatesTable[],IF(LEFT(I$7,2)="in",6,7),0)),"")</f>
        <v>4.2000000000000003E-2</v>
      </c>
      <c r="J39" s="71">
        <f>IFERROR(IF(LEN(VLOOKUP($B39&amp;$C39&amp;$C39+MID(J$7,4,IF(COLUMN()&gt;19,2,1))-IF(LEFT(J$7,2)="to",1,0),RatesTable[],IF(LEFT(J$7,2)="in",6,7),0))=0,"",VLOOKUP($B39&amp;$C39&amp;$C39+MID(J$7,4,IF(COLUMN()&gt;19,2,1))-IF(LEFT(J$7,2)="to",1,0),RatesTable[],IF(LEFT(J$7,2)="in",6,7),0)),"")</f>
        <v>0.22900000000000001</v>
      </c>
      <c r="K39" s="71">
        <f>IFERROR(IF(LEN(VLOOKUP($B39&amp;$C39&amp;$C39+MID(K$7,4,IF(COLUMN()&gt;19,2,1))-IF(LEFT(K$7,2)="to",1,0),RatesTable[],IF(LEFT(K$7,2)="in",6,7),0))=0,"",VLOOKUP($B39&amp;$C39&amp;$C39+MID(K$7,4,IF(COLUMN()&gt;19,2,1))-IF(LEFT(K$7,2)="to",1,0),RatesTable[],IF(LEFT(K$7,2)="in",6,7),0)),"")</f>
        <v>0.11899999999999999</v>
      </c>
      <c r="L39" s="71">
        <f>IFERROR(IF(LEN(VLOOKUP($B39&amp;$C39&amp;$C39+MID(L$7,4,IF(COLUMN()&gt;19,2,1))-IF(LEFT(L$7,2)="to",1,0),RatesTable[],IF(LEFT(L$7,2)="in",6,7),0))=0,"",VLOOKUP($B39&amp;$C39&amp;$C39+MID(L$7,4,IF(COLUMN()&gt;19,2,1))-IF(LEFT(L$7,2)="to",1,0),RatesTable[],IF(LEFT(L$7,2)="in",6,7),0)),"")</f>
        <v>0.11899999999999999</v>
      </c>
      <c r="M39" s="69">
        <f>IFERROR(IF(LEN(VLOOKUP($B39&amp;$C39&amp;$C39+MID(M$7,4,IF(COLUMN()&gt;19,2,1))-IF(LEFT(M$7,2)="to",1,0),RatesTable[],IF(LEFT(M$7,2)="in",6,7),0))=0,"",VLOOKUP($B39&amp;$C39&amp;$C39+MID(M$7,4,IF(COLUMN()&gt;19,2,1))-IF(LEFT(M$7,2)="to",1,0),RatesTable[],IF(LEFT(M$7,2)="in",6,7),0)),"")</f>
        <v>0.19500000000000001</v>
      </c>
      <c r="N39" s="69">
        <f>IFERROR(IF(LEN(VLOOKUP($B39&amp;$C39&amp;$C39+MID(N$7,4,IF(COLUMN()&gt;19,2,1))-IF(LEFT(N$7,2)="to",1,0),RatesTable[],IF(LEFT(N$7,2)="in",6,7),0))=0,"",VLOOKUP($B39&amp;$C39&amp;$C39+MID(N$7,4,IF(COLUMN()&gt;19,2,1))-IF(LEFT(N$7,2)="to",1,0),RatesTable[],IF(LEFT(N$7,2)="in",6,7),0)),"")</f>
        <v>4.2000000000000003E-2</v>
      </c>
      <c r="O39" s="69">
        <f>IFERROR(IF(LEN(VLOOKUP($B39&amp;$C39&amp;$C39+MID(O$7,4,IF(COLUMN()&gt;19,2,1))-IF(LEFT(O$7,2)="to",1,0),RatesTable[],IF(LEFT(O$7,2)="in",6,7),0))=0,"",VLOOKUP($B39&amp;$C39&amp;$C39+MID(O$7,4,IF(COLUMN()&gt;19,2,1))-IF(LEFT(O$7,2)="to",1,0),RatesTable[],IF(LEFT(O$7,2)="in",6,7),0)),"")</f>
        <v>0.22900000000000001</v>
      </c>
      <c r="P39" s="69">
        <f>IFERROR(IF(LEN(VLOOKUP($B39&amp;$C39&amp;$C39+MID(P$7,4,IF(COLUMN()&gt;19,2,1))-IF(LEFT(P$7,2)="to",1,0),RatesTable[],IF(LEFT(P$7,2)="in",6,7),0))=0,"",VLOOKUP($B39&amp;$C39&amp;$C39+MID(P$7,4,IF(COLUMN()&gt;19,2,1))-IF(LEFT(P$7,2)="to",1,0),RatesTable[],IF(LEFT(P$7,2)="in",6,7),0)),"")</f>
        <v>1.7000000000000001E-2</v>
      </c>
      <c r="Q39" s="64">
        <f>IFERROR(IF(LEN(VLOOKUP($B39&amp;$C39&amp;$C39+MID(Q$7,4,IF(COLUMN()&gt;19,2,1))-IF(LEFT(Q$7,2)="to",1,0),RatesTable[],IF(LEFT(Q$7,2)="in",6,7),0))=0,"",VLOOKUP($B39&amp;$C39&amp;$C39+MID(Q$7,4,IF(COLUMN()&gt;19,2,1))-IF(LEFT(Q$7,2)="to",1,0),RatesTable[],IF(LEFT(Q$7,2)="in",6,7),0)),"")</f>
        <v>0.22900000000000001</v>
      </c>
      <c r="R39" s="64">
        <f>IFERROR(IF(LEN(VLOOKUP($B39&amp;$C39&amp;$C39+MID(R$7,4,IF(COLUMN()&gt;19,2,1))-IF(LEFT(R$7,2)="to",1,0),RatesTable[],IF(LEFT(R$7,2)="in",6,7),0))=0,"",VLOOKUP($B39&amp;$C39&amp;$C39+MID(R$7,4,IF(COLUMN()&gt;19,2,1))-IF(LEFT(R$7,2)="to",1,0),RatesTable[],IF(LEFT(R$7,2)="in",6,7),0)),"")</f>
        <v>0</v>
      </c>
      <c r="S39" s="71">
        <f>27/118</f>
        <v>0.2288135593220339</v>
      </c>
      <c r="T39" s="71">
        <v>0</v>
      </c>
      <c r="V39" s="123"/>
      <c r="W39" s="16"/>
      <c r="X39" s="139"/>
      <c r="Y39" s="16"/>
      <c r="AE39" s="220"/>
    </row>
    <row r="40" spans="1:31" ht="15" customHeight="1" x14ac:dyDescent="0.2">
      <c r="A40" s="141" t="str">
        <f t="shared" si="0"/>
        <v>0053</v>
      </c>
      <c r="B40" s="101" t="s">
        <v>58</v>
      </c>
      <c r="C40" s="102">
        <v>2006</v>
      </c>
      <c r="D40" s="60">
        <f>IFERROR(IF(LEN(VLOOKUP($B40&amp;$C40,HeadcountAndScoresTable[],IF(D$7="Count",5,IF(D$7="ACT",6,7)),0))=0,"",VLOOKUP($B40&amp;$C40,HeadcountAndScoresTable[],IF(D$7="Count",5,IF(D$7="ACT",6,7)),0)),"")</f>
        <v>138</v>
      </c>
      <c r="E40" s="98">
        <f>IFERROR(IF(LEN(VLOOKUP($B40&amp;$C40,HeadcountAndScoresTable[],IF(E$7="Count",5,IF(E$7="ACT",6,7)),0))=0,"",VLOOKUP($B40&amp;$C40,HeadcountAndScoresTable[],IF(E$7="Count",5,IF(E$7="ACT",6,7)),0)),"")</f>
        <v>17.3</v>
      </c>
      <c r="F40" s="99" t="str">
        <f>IFERROR(IF(LEN(VLOOKUP($B40&amp;$C40,HeadcountAndScoresTable[],IF(F$7="Count",5,IF(F$7="ACT",6,7)),0))=0,"",VLOOKUP($B40&amp;$C40,HeadcountAndScoresTable[],IF(F$7="Count",5,IF(F$7="ACT",6,7)),0)),"")</f>
        <v/>
      </c>
      <c r="G40" s="100">
        <f>IFERROR(IF(LEN(VLOOKUP($B40&amp;$C40&amp;$C40+MID(G$7,4,IF(COLUMN()&gt;19,2,1))-IF(LEFT(G$7,2)="to",1,0),RatesTable[],IF(LEFT(G$7,2)="in",6,7),0))=0,"",VLOOKUP($B40&amp;$C40&amp;$C40+MID(G$7,4,IF(COLUMN()&gt;19,2,1))-IF(LEFT(G$7,2)="to",1,0),RatesTable[],IF(LEFT(G$7,2)="in",6,7),0)),"")</f>
        <v>0.63</v>
      </c>
      <c r="H40" s="71">
        <f>IFERROR(IF(LEN(VLOOKUP($B40&amp;$C40&amp;$C40+MID(H$7,4,IF(COLUMN()&gt;19,2,1))-IF(LEFT(H$7,2)="to",1,0),RatesTable[],IF(LEFT(H$7,2)="in",6,7),0))=0,"",VLOOKUP($B40&amp;$C40&amp;$C40+MID(H$7,4,IF(COLUMN()&gt;19,2,1))-IF(LEFT(H$7,2)="to",1,0),RatesTable[],IF(LEFT(H$7,2)="in",6,7),0)),"")</f>
        <v>0.40600000000000003</v>
      </c>
      <c r="I40" s="71">
        <f>IFERROR(IF(LEN(VLOOKUP($B40&amp;$C40&amp;$C40+MID(I$7,4,IF(COLUMN()&gt;19,2,1))-IF(LEFT(I$7,2)="to",1,0),RatesTable[],IF(LEFT(I$7,2)="in",6,7),0))=0,"",VLOOKUP($B40&amp;$C40&amp;$C40+MID(I$7,4,IF(COLUMN()&gt;19,2,1))-IF(LEFT(I$7,2)="to",1,0),RatesTable[],IF(LEFT(I$7,2)="in",6,7),0)),"")</f>
        <v>3.5999999999999997E-2</v>
      </c>
      <c r="J40" s="71">
        <f>IFERROR(IF(LEN(VLOOKUP($B40&amp;$C40&amp;$C40+MID(J$7,4,IF(COLUMN()&gt;19,2,1))-IF(LEFT(J$7,2)="to",1,0),RatesTable[],IF(LEFT(J$7,2)="in",6,7),0))=0,"",VLOOKUP($B40&amp;$C40&amp;$C40+MID(J$7,4,IF(COLUMN()&gt;19,2,1))-IF(LEFT(J$7,2)="to",1,0),RatesTable[],IF(LEFT(J$7,2)="in",6,7),0)),"")</f>
        <v>0.312</v>
      </c>
      <c r="K40" s="71">
        <f>IFERROR(IF(LEN(VLOOKUP($B40&amp;$C40&amp;$C40+MID(K$7,4,IF(COLUMN()&gt;19,2,1))-IF(LEFT(K$7,2)="to",1,0),RatesTable[],IF(LEFT(K$7,2)="in",6,7),0))=0,"",VLOOKUP($B40&amp;$C40&amp;$C40+MID(K$7,4,IF(COLUMN()&gt;19,2,1))-IF(LEFT(K$7,2)="to",1,0),RatesTable[],IF(LEFT(K$7,2)="in",6,7),0)),"")</f>
        <v>0.159</v>
      </c>
      <c r="L40" s="71">
        <f>IFERROR(IF(LEN(VLOOKUP($B40&amp;$C40&amp;$C40+MID(L$7,4,IF(COLUMN()&gt;19,2,1))-IF(LEFT(L$7,2)="to",1,0),RatesTable[],IF(LEFT(L$7,2)="in",6,7),0))=0,"",VLOOKUP($B40&amp;$C40&amp;$C40+MID(L$7,4,IF(COLUMN()&gt;19,2,1))-IF(LEFT(L$7,2)="to",1,0),RatesTable[],IF(LEFT(L$7,2)="in",6,7),0)),"")</f>
        <v>0.10100000000000001</v>
      </c>
      <c r="M40" s="71">
        <f>IFERROR(IF(LEN(VLOOKUP($B40&amp;$C40&amp;$C40+MID(M$7,4,IF(COLUMN()&gt;19,2,1))-IF(LEFT(M$7,2)="to",1,0),RatesTable[],IF(LEFT(M$7,2)="in",6,7),0))=0,"",VLOOKUP($B40&amp;$C40&amp;$C40+MID(M$7,4,IF(COLUMN()&gt;19,2,1))-IF(LEFT(M$7,2)="to",1,0),RatesTable[],IF(LEFT(M$7,2)="in",6,7),0)),"")</f>
        <v>0.21</v>
      </c>
      <c r="N40" s="71">
        <f>IFERROR(IF(LEN(VLOOKUP($B40&amp;$C40&amp;$C40+MID(N$7,4,IF(COLUMN()&gt;19,2,1))-IF(LEFT(N$7,2)="to",1,0),RatesTable[],IF(LEFT(N$7,2)="in",6,7),0))=0,"",VLOOKUP($B40&amp;$C40&amp;$C40+MID(N$7,4,IF(COLUMN()&gt;19,2,1))-IF(LEFT(N$7,2)="to",1,0),RatesTable[],IF(LEFT(N$7,2)="in",6,7),0)),"")</f>
        <v>3.5999999999999997E-2</v>
      </c>
      <c r="O40" s="69">
        <f>IFERROR(IF(LEN(VLOOKUP($B40&amp;$C40&amp;$C40+MID(O$7,4,IF(COLUMN()&gt;19,2,1))-IF(LEFT(O$7,2)="to",1,0),RatesTable[],IF(LEFT(O$7,2)="in",6,7),0))=0,"",VLOOKUP($B40&amp;$C40&amp;$C40+MID(O$7,4,IF(COLUMN()&gt;19,2,1))-IF(LEFT(O$7,2)="to",1,0),RatesTable[],IF(LEFT(O$7,2)="in",6,7),0)),"")</f>
        <v>0.23200000000000001</v>
      </c>
      <c r="P40" s="69">
        <f>IFERROR(IF(LEN(VLOOKUP($B40&amp;$C40&amp;$C40+MID(P$7,4,IF(COLUMN()&gt;19,2,1))-IF(LEFT(P$7,2)="to",1,0),RatesTable[],IF(LEFT(P$7,2)="in",6,7),0))=0,"",VLOOKUP($B40&amp;$C40&amp;$C40+MID(P$7,4,IF(COLUMN()&gt;19,2,1))-IF(LEFT(P$7,2)="to",1,0),RatesTable[],IF(LEFT(P$7,2)="in",6,7),0)),"")</f>
        <v>2.9000000000000001E-2</v>
      </c>
      <c r="Q40" s="71">
        <f>32/138</f>
        <v>0.2318840579710145</v>
      </c>
      <c r="R40" s="71">
        <f>1/138</f>
        <v>7.246376811594203E-3</v>
      </c>
      <c r="V40" s="123"/>
      <c r="W40" s="16"/>
      <c r="X40" s="139"/>
      <c r="Y40" s="16"/>
    </row>
    <row r="41" spans="1:31" ht="15" customHeight="1" x14ac:dyDescent="0.2">
      <c r="A41" s="141" t="str">
        <f t="shared" si="0"/>
        <v>0053</v>
      </c>
      <c r="B41" s="101" t="s">
        <v>58</v>
      </c>
      <c r="C41" s="102">
        <v>2007</v>
      </c>
      <c r="D41" s="60">
        <f>IFERROR(IF(LEN(VLOOKUP($B41&amp;$C41,HeadcountAndScoresTable[],IF(D$7="Count",5,IF(D$7="ACT",6,7)),0))=0,"",VLOOKUP($B41&amp;$C41,HeadcountAndScoresTable[],IF(D$7="Count",5,IF(D$7="ACT",6,7)),0)),"")</f>
        <v>133</v>
      </c>
      <c r="E41" s="98">
        <f>IFERROR(IF(LEN(VLOOKUP($B41&amp;$C41,HeadcountAndScoresTable[],IF(E$7="Count",5,IF(E$7="ACT",6,7)),0))=0,"",VLOOKUP($B41&amp;$C41,HeadcountAndScoresTable[],IF(E$7="Count",5,IF(E$7="ACT",6,7)),0)),"")</f>
        <v>17.3</v>
      </c>
      <c r="F41" s="99" t="str">
        <f>IFERROR(IF(LEN(VLOOKUP($B41&amp;$C41,HeadcountAndScoresTable[],IF(F$7="Count",5,IF(F$7="ACT",6,7)),0))=0,"",VLOOKUP($B41&amp;$C41,HeadcountAndScoresTable[],IF(F$7="Count",5,IF(F$7="ACT",6,7)),0)),"")</f>
        <v/>
      </c>
      <c r="G41" s="100">
        <f>IFERROR(IF(LEN(VLOOKUP($B41&amp;$C41&amp;$C41+MID(G$7,4,IF(COLUMN()&gt;19,2,1))-IF(LEFT(G$7,2)="to",1,0),RatesTable[],IF(LEFT(G$7,2)="in",6,7),0))=0,"",VLOOKUP($B41&amp;$C41&amp;$C41+MID(G$7,4,IF(COLUMN()&gt;19,2,1))-IF(LEFT(G$7,2)="to",1,0),RatesTable[],IF(LEFT(G$7,2)="in",6,7),0)),"")</f>
        <v>0.60899999999999999</v>
      </c>
      <c r="H41" s="71">
        <f>IFERROR(IF(LEN(VLOOKUP($B41&amp;$C41&amp;$C41+MID(H$7,4,IF(COLUMN()&gt;19,2,1))-IF(LEFT(H$7,2)="to",1,0),RatesTable[],IF(LEFT(H$7,2)="in",6,7),0))=0,"",VLOOKUP($B41&amp;$C41&amp;$C41+MID(H$7,4,IF(COLUMN()&gt;19,2,1))-IF(LEFT(H$7,2)="to",1,0),RatesTable[],IF(LEFT(H$7,2)="in",6,7),0)),"")</f>
        <v>0.45900000000000002</v>
      </c>
      <c r="I41" s="71">
        <f>IFERROR(IF(LEN(VLOOKUP($B41&amp;$C41&amp;$C41+MID(I$7,4,IF(COLUMN()&gt;19,2,1))-IF(LEFT(I$7,2)="to",1,0),RatesTable[],IF(LEFT(I$7,2)="in",6,7),0))=0,"",VLOOKUP($B41&amp;$C41&amp;$C41+MID(I$7,4,IF(COLUMN()&gt;19,2,1))-IF(LEFT(I$7,2)="to",1,0),RatesTable[],IF(LEFT(I$7,2)="in",6,7),0)),"")</f>
        <v>5.2999999999999999E-2</v>
      </c>
      <c r="J41" s="71">
        <f>IFERROR(IF(LEN(VLOOKUP($B41&amp;$C41&amp;$C41+MID(J$7,4,IF(COLUMN()&gt;19,2,1))-IF(LEFT(J$7,2)="to",1,0),RatesTable[],IF(LEFT(J$7,2)="in",6,7),0))=0,"",VLOOKUP($B41&amp;$C41&amp;$C41+MID(J$7,4,IF(COLUMN()&gt;19,2,1))-IF(LEFT(J$7,2)="to",1,0),RatesTable[],IF(LEFT(J$7,2)="in",6,7),0)),"")</f>
        <v>0.27100000000000002</v>
      </c>
      <c r="K41" s="71">
        <f>IFERROR(IF(LEN(VLOOKUP($B41&amp;$C41&amp;$C41+MID(K$7,4,IF(COLUMN()&gt;19,2,1))-IF(LEFT(K$7,2)="to",1,0),RatesTable[],IF(LEFT(K$7,2)="in",6,7),0))=0,"",VLOOKUP($B41&amp;$C41&amp;$C41+MID(K$7,4,IF(COLUMN()&gt;19,2,1))-IF(LEFT(K$7,2)="to",1,0),RatesTable[],IF(LEFT(K$7,2)="in",6,7),0)),"")</f>
        <v>0.188</v>
      </c>
      <c r="L41" s="71">
        <f>IFERROR(IF(LEN(VLOOKUP($B41&amp;$C41&amp;$C41+MID(L$7,4,IF(COLUMN()&gt;19,2,1))-IF(LEFT(L$7,2)="to",1,0),RatesTable[],IF(LEFT(L$7,2)="in",6,7),0))=0,"",VLOOKUP($B41&amp;$C41&amp;$C41+MID(L$7,4,IF(COLUMN()&gt;19,2,1))-IF(LEFT(L$7,2)="to",1,0),RatesTable[],IF(LEFT(L$7,2)="in",6,7),0)),"")</f>
        <v>0.06</v>
      </c>
      <c r="M41" s="69">
        <f>IFERROR(IF(LEN(VLOOKUP($B41&amp;$C41&amp;$C41+MID(M$7,4,IF(COLUMN()&gt;19,2,1))-IF(LEFT(M$7,2)="to",1,0),RatesTable[],IF(LEFT(M$7,2)="in",6,7),0))=0,"",VLOOKUP($B41&amp;$C41&amp;$C41+MID(M$7,4,IF(COLUMN()&gt;19,2,1))-IF(LEFT(M$7,2)="to",1,0),RatesTable[],IF(LEFT(M$7,2)="in",6,7),0)),"")</f>
        <v>0.24099999999999999</v>
      </c>
      <c r="N41" s="69">
        <f>IFERROR(IF(LEN(VLOOKUP($B41&amp;$C41&amp;$C41+MID(N$7,4,IF(COLUMN()&gt;19,2,1))-IF(LEFT(N$7,2)="to",1,0),RatesTable[],IF(LEFT(N$7,2)="in",6,7),0))=0,"",VLOOKUP($B41&amp;$C41&amp;$C41+MID(N$7,4,IF(COLUMN()&gt;19,2,1))-IF(LEFT(N$7,2)="to",1,0),RatesTable[],IF(LEFT(N$7,2)="in",6,7),0)),"")</f>
        <v>6.8000000000000005E-2</v>
      </c>
      <c r="O41" s="71">
        <f>41/133</f>
        <v>0.30827067669172931</v>
      </c>
      <c r="P41" s="71">
        <f>4/133</f>
        <v>3.007518796992481E-2</v>
      </c>
      <c r="V41" s="123"/>
      <c r="W41" s="16"/>
      <c r="X41" s="139"/>
      <c r="Y41" s="16"/>
    </row>
    <row r="42" spans="1:31" ht="15" customHeight="1" x14ac:dyDescent="0.2">
      <c r="A42" s="141" t="str">
        <f t="shared" si="0"/>
        <v>0053</v>
      </c>
      <c r="B42" s="101" t="s">
        <v>58</v>
      </c>
      <c r="C42" s="102">
        <v>2008</v>
      </c>
      <c r="D42" s="60">
        <f>IFERROR(IF(LEN(VLOOKUP($B42&amp;$C42,HeadcountAndScoresTable[],IF(D$7="Count",5,IF(D$7="ACT",6,7)),0))=0,"",VLOOKUP($B42&amp;$C42,HeadcountAndScoresTable[],IF(D$7="Count",5,IF(D$7="ACT",6,7)),0)),"")</f>
        <v>126</v>
      </c>
      <c r="E42" s="98">
        <f>IFERROR(IF(LEN(VLOOKUP($B42&amp;$C42,HeadcountAndScoresTable[],IF(E$7="Count",5,IF(E$7="ACT",6,7)),0))=0,"",VLOOKUP($B42&amp;$C42,HeadcountAndScoresTable[],IF(E$7="Count",5,IF(E$7="ACT",6,7)),0)),"")</f>
        <v>17.8</v>
      </c>
      <c r="F42" s="99" t="str">
        <f>IFERROR(IF(LEN(VLOOKUP($B42&amp;$C42,HeadcountAndScoresTable[],IF(F$7="Count",5,IF(F$7="ACT",6,7)),0))=0,"",VLOOKUP($B42&amp;$C42,HeadcountAndScoresTable[],IF(F$7="Count",5,IF(F$7="ACT",6,7)),0)),"")</f>
        <v/>
      </c>
      <c r="G42" s="100">
        <f>IFERROR(IF(LEN(VLOOKUP($B42&amp;$C42&amp;$C42+MID(G$7,4,IF(COLUMN()&gt;19,2,1))-IF(LEFT(G$7,2)="to",1,0),RatesTable[],IF(LEFT(G$7,2)="in",6,7),0))=0,"",VLOOKUP($B42&amp;$C42&amp;$C42+MID(G$7,4,IF(COLUMN()&gt;19,2,1))-IF(LEFT(G$7,2)="to",1,0),RatesTable[],IF(LEFT(G$7,2)="in",6,7),0)),"")</f>
        <v>0.70599999999999996</v>
      </c>
      <c r="H42" s="71">
        <f>IFERROR(IF(LEN(VLOOKUP($B42&amp;$C42&amp;$C42+MID(H$7,4,IF(COLUMN()&gt;19,2,1))-IF(LEFT(H$7,2)="to",1,0),RatesTable[],IF(LEFT(H$7,2)="in",6,7),0))=0,"",VLOOKUP($B42&amp;$C42&amp;$C42+MID(H$7,4,IF(COLUMN()&gt;19,2,1))-IF(LEFT(H$7,2)="to",1,0),RatesTable[],IF(LEFT(H$7,2)="in",6,7),0)),"")</f>
        <v>0.41299999999999998</v>
      </c>
      <c r="I42" s="71">
        <f>IFERROR(IF(LEN(VLOOKUP($B42&amp;$C42&amp;$C42+MID(I$7,4,IF(COLUMN()&gt;19,2,1))-IF(LEFT(I$7,2)="to",1,0),RatesTable[],IF(LEFT(I$7,2)="in",6,7),0))=0,"",VLOOKUP($B42&amp;$C42&amp;$C42+MID(I$7,4,IF(COLUMN()&gt;19,2,1))-IF(LEFT(I$7,2)="to",1,0),RatesTable[],IF(LEFT(I$7,2)="in",6,7),0)),"")</f>
        <v>2.4E-2</v>
      </c>
      <c r="J42" s="71">
        <f>IFERROR(IF(LEN(VLOOKUP($B42&amp;$C42&amp;$C42+MID(J$7,4,IF(COLUMN()&gt;19,2,1))-IF(LEFT(J$7,2)="to",1,0),RatesTable[],IF(LEFT(J$7,2)="in",6,7),0))=0,"",VLOOKUP($B42&amp;$C42&amp;$C42+MID(J$7,4,IF(COLUMN()&gt;19,2,1))-IF(LEFT(J$7,2)="to",1,0),RatesTable[],IF(LEFT(J$7,2)="in",6,7),0)),"")</f>
        <v>0.31</v>
      </c>
      <c r="K42" s="69">
        <f>IFERROR(IF(LEN(VLOOKUP($B42&amp;$C42&amp;$C42+MID(K$7,4,IF(COLUMN()&gt;19,2,1))-IF(LEFT(K$7,2)="to",1,0),RatesTable[],IF(LEFT(K$7,2)="in",6,7),0))=0,"",VLOOKUP($B42&amp;$C42&amp;$C42+MID(K$7,4,IF(COLUMN()&gt;19,2,1))-IF(LEFT(K$7,2)="to",1,0),RatesTable[],IF(LEFT(K$7,2)="in",6,7),0)),"")</f>
        <v>0.13500000000000001</v>
      </c>
      <c r="L42" s="69">
        <f>IFERROR(IF(LEN(VLOOKUP($B42&amp;$C42&amp;$C42+MID(L$7,4,IF(COLUMN()&gt;19,2,1))-IF(LEFT(L$7,2)="to",1,0),RatesTable[],IF(LEFT(L$7,2)="in",6,7),0))=0,"",VLOOKUP($B42&amp;$C42&amp;$C42+MID(L$7,4,IF(COLUMN()&gt;19,2,1))-IF(LEFT(L$7,2)="to",1,0),RatesTable[],IF(LEFT(L$7,2)="in",6,7),0)),"")</f>
        <v>0.13500000000000001</v>
      </c>
      <c r="M42" s="71">
        <f>27/126</f>
        <v>0.21428571428571427</v>
      </c>
      <c r="N42" s="71">
        <f>6/126</f>
        <v>4.7619047619047616E-2</v>
      </c>
      <c r="O42" s="85"/>
      <c r="P42" s="85"/>
      <c r="V42" s="123"/>
      <c r="W42" s="16"/>
      <c r="X42" s="139"/>
      <c r="Y42" s="16"/>
    </row>
    <row r="43" spans="1:31" ht="15" customHeight="1" x14ac:dyDescent="0.2">
      <c r="A43" s="141" t="str">
        <f t="shared" si="0"/>
        <v>0053</v>
      </c>
      <c r="B43" s="101" t="s">
        <v>58</v>
      </c>
      <c r="C43" s="102">
        <v>2009</v>
      </c>
      <c r="D43" s="60">
        <f>IFERROR(IF(LEN(VLOOKUP($B43&amp;$C43,HeadcountAndScoresTable[],IF(D$7="Count",5,IF(D$7="ACT",6,7)),0))=0,"",VLOOKUP($B43&amp;$C43,HeadcountAndScoresTable[],IF(D$7="Count",5,IF(D$7="ACT",6,7)),0)),"")</f>
        <v>191</v>
      </c>
      <c r="E43" s="98">
        <f>IFERROR(IF(LEN(VLOOKUP($B43&amp;$C43,HeadcountAndScoresTable[],IF(E$7="Count",5,IF(E$7="ACT",6,7)),0))=0,"",VLOOKUP($B43&amp;$C43,HeadcountAndScoresTable[],IF(E$7="Count",5,IF(E$7="ACT",6,7)),0)),"")</f>
        <v>17.399999999999999</v>
      </c>
      <c r="F43" s="99" t="str">
        <f>IFERROR(IF(LEN(VLOOKUP($B43&amp;$C43,HeadcountAndScoresTable[],IF(F$7="Count",5,IF(F$7="ACT",6,7)),0))=0,"",VLOOKUP($B43&amp;$C43,HeadcountAndScoresTable[],IF(F$7="Count",5,IF(F$7="ACT",6,7)),0)),"")</f>
        <v/>
      </c>
      <c r="G43" s="100">
        <f>IFERROR(IF(LEN(VLOOKUP($B43&amp;$C43&amp;$C43+MID(G$7,4,IF(COLUMN()&gt;19,2,1))-IF(LEFT(G$7,2)="to",1,0),RatesTable[],IF(LEFT(G$7,2)="in",6,7),0))=0,"",VLOOKUP($B43&amp;$C43&amp;$C43+MID(G$7,4,IF(COLUMN()&gt;19,2,1))-IF(LEFT(G$7,2)="to",1,0),RatesTable[],IF(LEFT(G$7,2)="in",6,7),0)),"")</f>
        <v>0.49199999999999999</v>
      </c>
      <c r="H43" s="71">
        <f>IFERROR(IF(LEN(VLOOKUP($B43&amp;$C43&amp;$C43+MID(H$7,4,IF(COLUMN()&gt;19,2,1))-IF(LEFT(H$7,2)="to",1,0),RatesTable[],IF(LEFT(H$7,2)="in",6,7),0))=0,"",VLOOKUP($B43&amp;$C43&amp;$C43+MID(H$7,4,IF(COLUMN()&gt;19,2,1))-IF(LEFT(H$7,2)="to",1,0),RatesTable[],IF(LEFT(H$7,2)="in",6,7),0)),"")</f>
        <v>0.33500000000000002</v>
      </c>
      <c r="I43" s="69">
        <f>IFERROR(IF(LEN(VLOOKUP($B43&amp;$C43&amp;$C43+MID(I$7,4,IF(COLUMN()&gt;19,2,1))-IF(LEFT(I$7,2)="to",1,0),RatesTable[],IF(LEFT(I$7,2)="in",6,7),0))=0,"",VLOOKUP($B43&amp;$C43&amp;$C43+MID(I$7,4,IF(COLUMN()&gt;19,2,1))-IF(LEFT(I$7,2)="to",1,0),RatesTable[],IF(LEFT(I$7,2)="in",6,7),0)),"")</f>
        <v>3.1E-2</v>
      </c>
      <c r="J43" s="63">
        <f>IFERROR(IF(LEN(VLOOKUP($B43&amp;$C43&amp;$C43+MID(J$7,4,IF(COLUMN()&gt;19,2,1))-IF(LEFT(J$7,2)="to",1,0),RatesTable[],IF(LEFT(J$7,2)="in",6,7),0))=0,"",VLOOKUP($B43&amp;$C43&amp;$C43+MID(J$7,4,IF(COLUMN()&gt;19,2,1))-IF(LEFT(J$7,2)="to",1,0),RatesTable[],IF(LEFT(J$7,2)="in",6,7),0)),"")</f>
        <v>0.24099999999999999</v>
      </c>
      <c r="K43" s="71">
        <f>22/191</f>
        <v>0.11518324607329843</v>
      </c>
      <c r="L43" s="71">
        <f>25/191</f>
        <v>0.13089005235602094</v>
      </c>
      <c r="M43" s="88"/>
      <c r="N43" s="88"/>
      <c r="O43" s="86"/>
      <c r="P43" s="86"/>
      <c r="Q43" s="87"/>
      <c r="R43" s="87"/>
      <c r="V43" s="123"/>
      <c r="W43" s="16"/>
      <c r="X43" s="139"/>
      <c r="Y43" s="16"/>
    </row>
    <row r="44" spans="1:31" ht="15" customHeight="1" x14ac:dyDescent="0.2">
      <c r="A44" s="141" t="str">
        <f t="shared" si="0"/>
        <v>0053</v>
      </c>
      <c r="B44" s="101" t="s">
        <v>58</v>
      </c>
      <c r="C44" s="102">
        <v>2010</v>
      </c>
      <c r="D44" s="60">
        <f>IFERROR(IF(LEN(VLOOKUP($B44&amp;$C44,HeadcountAndScoresTable[],IF(D$7="Count",5,IF(D$7="ACT",6,7)),0))=0,"",VLOOKUP($B44&amp;$C44,HeadcountAndScoresTable[],IF(D$7="Count",5,IF(D$7="ACT",6,7)),0)),"")</f>
        <v>137</v>
      </c>
      <c r="E44" s="98">
        <f>IFERROR(IF(LEN(VLOOKUP($B44&amp;$C44,HeadcountAndScoresTable[],IF(E$7="Count",5,IF(E$7="ACT",6,7)),0))=0,"",VLOOKUP($B44&amp;$C44,HeadcountAndScoresTable[],IF(E$7="Count",5,IF(E$7="ACT",6,7)),0)),"")</f>
        <v>18.2</v>
      </c>
      <c r="F44" s="99" t="str">
        <f>IFERROR(IF(LEN(VLOOKUP($B44&amp;$C44,HeadcountAndScoresTable[],IF(F$7="Count",5,IF(F$7="ACT",6,7)),0))=0,"",VLOOKUP($B44&amp;$C44,HeadcountAndScoresTable[],IF(F$7="Count",5,IF(F$7="ACT",6,7)),0)),"")</f>
        <v/>
      </c>
      <c r="G44" s="61">
        <f>IFERROR(IF(LEN(VLOOKUP($B44&amp;$C44&amp;$C44+MID(G$7,4,IF(COLUMN()&gt;19,2,1))-IF(LEFT(G$7,2)="to",1,0),RatesTable[],IF(LEFT(G$7,2)="in",6,7),0))=0,"",VLOOKUP($B44&amp;$C44&amp;$C44+MID(G$7,4,IF(COLUMN()&gt;19,2,1))-IF(LEFT(G$7,2)="to",1,0),RatesTable[],IF(LEFT(G$7,2)="in",6,7),0)),"")</f>
        <v>0.59899999999999998</v>
      </c>
      <c r="H44" s="70">
        <f>IFERROR(IF(LEN(VLOOKUP($B44&amp;$C44&amp;$C44+MID(H$7,4,IF(COLUMN()&gt;19,2,1))-IF(LEFT(H$7,2)="to",1,0),RatesTable[],IF(LEFT(H$7,2)="in",6,7),0))=0,"",VLOOKUP($B44&amp;$C44&amp;$C44+MID(H$7,4,IF(COLUMN()&gt;19,2,1))-IF(LEFT(H$7,2)="to",1,0),RatesTable[],IF(LEFT(H$7,2)="in",6,7),0)),"")</f>
        <v>0.42299999999999999</v>
      </c>
      <c r="I44" s="71">
        <f>4/137</f>
        <v>2.9197080291970802E-2</v>
      </c>
      <c r="J44" s="71">
        <f>48/137</f>
        <v>0.35036496350364965</v>
      </c>
      <c r="K44" s="88"/>
      <c r="L44" s="88"/>
      <c r="M44" s="88"/>
      <c r="N44" s="88"/>
      <c r="O44" s="86"/>
      <c r="P44" s="86"/>
      <c r="Q44" s="87"/>
      <c r="R44" s="87"/>
      <c r="V44" s="123"/>
      <c r="W44" s="16"/>
      <c r="X44" s="139"/>
      <c r="Y44" s="16"/>
    </row>
    <row r="45" spans="1:31" ht="15" customHeight="1" x14ac:dyDescent="0.2">
      <c r="A45" s="141" t="str">
        <f t="shared" si="0"/>
        <v>0053</v>
      </c>
      <c r="B45" s="101" t="s">
        <v>58</v>
      </c>
      <c r="C45" s="102">
        <v>2011</v>
      </c>
      <c r="D45" s="60">
        <f>IFERROR(IF(LEN(VLOOKUP($B45&amp;$C45,HeadcountAndScoresTable[],IF(D$7="Count",5,IF(D$7="ACT",6,7)),0))=0,"",VLOOKUP($B45&amp;$C45,HeadcountAndScoresTable[],IF(D$7="Count",5,IF(D$7="ACT",6,7)),0)),"")</f>
        <v>156</v>
      </c>
      <c r="E45" s="98">
        <f>IFERROR(IF(LEN(VLOOKUP($B45&amp;$C45,HeadcountAndScoresTable[],IF(E$7="Count",5,IF(E$7="ACT",6,7)),0))=0,"",VLOOKUP($B45&amp;$C45,HeadcountAndScoresTable[],IF(E$7="Count",5,IF(E$7="ACT",6,7)),0)),"")</f>
        <v>18.3</v>
      </c>
      <c r="F45" s="99" t="str">
        <f>IFERROR(IF(LEN(VLOOKUP($B45&amp;$C45,HeadcountAndScoresTable[],IF(F$7="Count",5,IF(F$7="ACT",6,7)),0))=0,"",VLOOKUP($B45&amp;$C45,HeadcountAndScoresTable[],IF(F$7="Count",5,IF(F$7="ACT",6,7)),0)),"")</f>
        <v/>
      </c>
      <c r="G45" s="61">
        <f>IFERROR(IF(LEN(VLOOKUP($B45&amp;$C45&amp;$C45+MID(G$7,4,IF(COLUMN()&gt;19,2,1))-IF(LEFT(G$7,2)="to",1,0),RatesTable[],IF(LEFT(G$7,2)="in",6,7),0))=0,"",VLOOKUP($B45&amp;$C45&amp;$C45+MID(G$7,4,IF(COLUMN()&gt;19,2,1))-IF(LEFT(G$7,2)="to",1,0),RatesTable[],IF(LEFT(G$7,2)="in",6,7),0)),"")</f>
        <v>0.64100000000000001</v>
      </c>
      <c r="H45" s="71">
        <f>IFERROR(IF(LEN(VLOOKUP($B45&amp;$C45&amp;$C45+MID(H$7,4,IF(COLUMN()&gt;19,2,1))-IF(LEFT(H$7,2)="to",1,0),RatesTable[],IF(LEFT(H$7,2)="in",6,7),0))=0,"",VLOOKUP($B45&amp;$C45&amp;$C45+MID(H$7,4,IF(COLUMN()&gt;19,2,1))-IF(LEFT(H$7,2)="to",1,0),RatesTable[],IF(LEFT(H$7,2)="in",6,7),0)),"")</f>
        <v>0.48099999999999998</v>
      </c>
      <c r="I45" s="88"/>
      <c r="J45" s="88"/>
      <c r="K45" s="88"/>
      <c r="L45" s="88"/>
      <c r="M45" s="88"/>
      <c r="N45" s="88"/>
      <c r="O45" s="86"/>
      <c r="P45" s="86"/>
      <c r="Q45" s="87"/>
      <c r="R45" s="87"/>
      <c r="V45" s="123"/>
      <c r="W45" s="16"/>
      <c r="X45" s="139"/>
      <c r="Y45" s="16"/>
    </row>
    <row r="46" spans="1:31" ht="15" customHeight="1" x14ac:dyDescent="0.2">
      <c r="A46" s="141" t="str">
        <f t="shared" si="0"/>
        <v>0053</v>
      </c>
      <c r="B46" s="101" t="s">
        <v>58</v>
      </c>
      <c r="C46" s="102">
        <v>2012</v>
      </c>
      <c r="D46" s="60">
        <f>IFERROR(IF(LEN(VLOOKUP($B46&amp;$C46,HeadcountAndScoresTable[],IF(D$7="Count",5,IF(D$7="ACT",6,7)),0))=0,"",VLOOKUP($B46&amp;$C46,HeadcountAndScoresTable[],IF(D$7="Count",5,IF(D$7="ACT",6,7)),0)),"")</f>
        <v>183</v>
      </c>
      <c r="E46" s="98">
        <f>IFERROR(IF(LEN(VLOOKUP($B46&amp;$C46,HeadcountAndScoresTable[],IF(E$7="Count",5,IF(E$7="ACT",6,7)),0))=0,"",VLOOKUP($B46&amp;$C46,HeadcountAndScoresTable[],IF(E$7="Count",5,IF(E$7="ACT",6,7)),0)),"")</f>
        <v>18.3</v>
      </c>
      <c r="F46" s="99" t="str">
        <f>IFERROR(IF(LEN(VLOOKUP($B46&amp;$C46,HeadcountAndScoresTable[],IF(F$7="Count",5,IF(F$7="ACT",6,7)),0))=0,"",VLOOKUP($B46&amp;$C46,HeadcountAndScoresTable[],IF(F$7="Count",5,IF(F$7="ACT",6,7)),0)),"")</f>
        <v/>
      </c>
      <c r="G46" s="61">
        <f>IFERROR(IF(LEN(VLOOKUP($B46&amp;$C46&amp;$C46+MID(G$7,4,IF(COLUMN()&gt;19,2,1))-IF(LEFT(G$7,2)="to",1,0),RatesTable[],IF(LEFT(G$7,2)="in",6,7),0))=0,"",VLOOKUP($B46&amp;$C46&amp;$C46+MID(G$7,4,IF(COLUMN()&gt;19,2,1))-IF(LEFT(G$7,2)="to",1,0),RatesTable[],IF(LEFT(G$7,2)="in",6,7),0)),"")</f>
        <v>0.64500000000000002</v>
      </c>
      <c r="H46" s="71">
        <f>96/183</f>
        <v>0.52459016393442626</v>
      </c>
      <c r="I46" s="88"/>
      <c r="J46" s="88"/>
      <c r="K46" s="88"/>
      <c r="L46" s="88"/>
      <c r="M46" s="88"/>
      <c r="N46" s="88"/>
      <c r="O46" s="86"/>
      <c r="P46" s="86"/>
      <c r="Q46" s="87"/>
      <c r="R46" s="87"/>
      <c r="V46" s="123"/>
      <c r="W46" s="16"/>
      <c r="X46" s="139"/>
      <c r="Y46" s="16"/>
    </row>
    <row r="47" spans="1:31" ht="15" customHeight="1" x14ac:dyDescent="0.2">
      <c r="A47" s="141" t="str">
        <f t="shared" si="0"/>
        <v>0053</v>
      </c>
      <c r="B47" s="101" t="s">
        <v>58</v>
      </c>
      <c r="C47" s="97">
        <v>2013</v>
      </c>
      <c r="D47" s="60">
        <v>159</v>
      </c>
      <c r="E47" s="98">
        <v>19.09</v>
      </c>
      <c r="F47" s="99" t="str">
        <f>IFERROR(IF(LEN(VLOOKUP($B47&amp;$C47,HeadcountAndScoresTable[],IF(F$7="Count",5,IF(F$7="ACT",6,7)),0))=0,"",VLOOKUP($B47&amp;$C47,HeadcountAndScoresTable[],IF(F$7="Count",5,IF(F$7="ACT",6,7)),0)),"")</f>
        <v/>
      </c>
      <c r="G47" s="100">
        <f>99/159</f>
        <v>0.62264150943396224</v>
      </c>
      <c r="H47" s="88"/>
      <c r="I47" s="88"/>
      <c r="J47" s="88"/>
      <c r="K47" s="88"/>
      <c r="L47" s="88"/>
      <c r="M47" s="88"/>
      <c r="N47" s="88"/>
      <c r="O47" s="86"/>
      <c r="P47" s="86"/>
      <c r="Q47" s="87"/>
      <c r="R47" s="87"/>
      <c r="V47" s="123"/>
      <c r="W47" s="16"/>
      <c r="X47" s="139"/>
      <c r="Y47" s="16"/>
    </row>
    <row r="48" spans="1:31" ht="15" customHeight="1" x14ac:dyDescent="0.2">
      <c r="A48" s="141" t="str">
        <f t="shared" si="0"/>
        <v>0053</v>
      </c>
      <c r="B48" s="101" t="s">
        <v>55</v>
      </c>
      <c r="C48" s="102">
        <v>2004</v>
      </c>
      <c r="D48" s="60">
        <f>IFERROR(IF(LEN(VLOOKUP($B48&amp;$C48,HeadcountAndScoresTable[],IF(D$7="Count",5,IF(D$7="ACT",6,7)),0))=0,"",VLOOKUP($B48&amp;$C48,HeadcountAndScoresTable[],IF(D$7="Count",5,IF(D$7="ACT",6,7)),0)),"")</f>
        <v>7</v>
      </c>
      <c r="E48" s="98">
        <f>IFERROR(IF(LEN(VLOOKUP($B48&amp;$C48,HeadcountAndScoresTable[],IF(E$7="Count",5,IF(E$7="ACT",6,7)),0))=0,"",VLOOKUP($B48&amp;$C48,HeadcountAndScoresTable[],IF(E$7="Count",5,IF(E$7="ACT",6,7)),0)),"")</f>
        <v>20</v>
      </c>
      <c r="F48" s="99" t="str">
        <f>IFERROR(IF(LEN(VLOOKUP($B48&amp;$C48,HeadcountAndScoresTable[],IF(F$7="Count",5,IF(F$7="ACT",6,7)),0))=0,"",VLOOKUP($B48&amp;$C48,HeadcountAndScoresTable[],IF(F$7="Count",5,IF(F$7="ACT",6,7)),0)),"")</f>
        <v/>
      </c>
      <c r="G48" s="100">
        <f>IFERROR(IF(LEN(VLOOKUP($B48&amp;$C48&amp;$C48+MID(G$7,4,IF(COLUMN()&gt;19,2,1))-IF(LEFT(G$7,2)="to",1,0),RatesTable[],IF(LEFT(G$7,2)="in",6,7),0))=0,"",VLOOKUP($B48&amp;$C48&amp;$C48+MID(G$7,4,IF(COLUMN()&gt;19,2,1))-IF(LEFT(G$7,2)="to",1,0),RatesTable[],IF(LEFT(G$7,2)="in",6,7),0)),"")</f>
        <v>0.71399999999999997</v>
      </c>
      <c r="H48" s="71">
        <f>IFERROR(IF(LEN(VLOOKUP($B48&amp;$C48&amp;$C48+MID(H$7,4,IF(COLUMN()&gt;19,2,1))-IF(LEFT(H$7,2)="to",1,0),RatesTable[],IF(LEFT(H$7,2)="in",6,7),0))=0,"",VLOOKUP($B48&amp;$C48&amp;$C48+MID(H$7,4,IF(COLUMN()&gt;19,2,1))-IF(LEFT(H$7,2)="to",1,0),RatesTable[],IF(LEFT(H$7,2)="in",6,7),0)),"")</f>
        <v>0.57099999999999995</v>
      </c>
      <c r="I48" s="71">
        <f>IFERROR(IF(LEN(VLOOKUP($B48&amp;$C48&amp;$C48+MID(I$7,4,IF(COLUMN()&gt;19,2,1))-IF(LEFT(I$7,2)="to",1,0),RatesTable[],IF(LEFT(I$7,2)="in",6,7),0))=0,"",VLOOKUP($B48&amp;$C48&amp;$C48+MID(I$7,4,IF(COLUMN()&gt;19,2,1))-IF(LEFT(I$7,2)="to",1,0),RatesTable[],IF(LEFT(I$7,2)="in",6,7),0)),"")</f>
        <v>0</v>
      </c>
      <c r="J48" s="71">
        <f>IFERROR(IF(LEN(VLOOKUP($B48&amp;$C48&amp;$C48+MID(J$7,4,IF(COLUMN()&gt;19,2,1))-IF(LEFT(J$7,2)="to",1,0),RatesTable[],IF(LEFT(J$7,2)="in",6,7),0))=0,"",VLOOKUP($B48&amp;$C48&amp;$C48+MID(J$7,4,IF(COLUMN()&gt;19,2,1))-IF(LEFT(J$7,2)="to",1,0),RatesTable[],IF(LEFT(J$7,2)="in",6,7),0)),"")</f>
        <v>0.57099999999999995</v>
      </c>
      <c r="K48" s="71">
        <f>IFERROR(IF(LEN(VLOOKUP($B48&amp;$C48&amp;$C48+MID(K$7,4,IF(COLUMN()&gt;19,2,1))-IF(LEFT(K$7,2)="to",1,0),RatesTable[],IF(LEFT(K$7,2)="in",6,7),0))=0,"",VLOOKUP($B48&amp;$C48&amp;$C48+MID(K$7,4,IF(COLUMN()&gt;19,2,1))-IF(LEFT(K$7,2)="to",1,0),RatesTable[],IF(LEFT(K$7,2)="in",6,7),0)),"")</f>
        <v>0.57099999999999995</v>
      </c>
      <c r="L48" s="71">
        <f>IFERROR(IF(LEN(VLOOKUP($B48&amp;$C48&amp;$C48+MID(L$7,4,IF(COLUMN()&gt;19,2,1))-IF(LEFT(L$7,2)="to",1,0),RatesTable[],IF(LEFT(L$7,2)="in",6,7),0))=0,"",VLOOKUP($B48&amp;$C48&amp;$C48+MID(L$7,4,IF(COLUMN()&gt;19,2,1))-IF(LEFT(L$7,2)="to",1,0),RatesTable[],IF(LEFT(L$7,2)="in",6,7),0)),"")</f>
        <v>0</v>
      </c>
      <c r="M48" s="69">
        <f>IFERROR(IF(LEN(VLOOKUP($B48&amp;$C48&amp;$C48+MID(M$7,4,IF(COLUMN()&gt;19,2,1))-IF(LEFT(M$7,2)="to",1,0),RatesTable[],IF(LEFT(M$7,2)="in",6,7),0))=0,"",VLOOKUP($B48&amp;$C48&amp;$C48+MID(M$7,4,IF(COLUMN()&gt;19,2,1))-IF(LEFT(M$7,2)="to",1,0),RatesTable[],IF(LEFT(M$7,2)="in",6,7),0)),"")</f>
        <v>0.57099999999999995</v>
      </c>
      <c r="N48" s="69">
        <f>IFERROR(IF(LEN(VLOOKUP($B48&amp;$C48&amp;$C48+MID(N$7,4,IF(COLUMN()&gt;19,2,1))-IF(LEFT(N$7,2)="to",1,0),RatesTable[],IF(LEFT(N$7,2)="in",6,7),0))=0,"",VLOOKUP($B48&amp;$C48&amp;$C48+MID(N$7,4,IF(COLUMN()&gt;19,2,1))-IF(LEFT(N$7,2)="to",1,0),RatesTable[],IF(LEFT(N$7,2)="in",6,7),0)),"")</f>
        <v>0</v>
      </c>
      <c r="O48" s="69">
        <f>IFERROR(IF(LEN(VLOOKUP($B48&amp;$C48&amp;$C48+MID(O$7,4,IF(COLUMN()&gt;19,2,1))-IF(LEFT(O$7,2)="to",1,0),RatesTable[],IF(LEFT(O$7,2)="in",6,7),0))=0,"",VLOOKUP($B48&amp;$C48&amp;$C48+MID(O$7,4,IF(COLUMN()&gt;19,2,1))-IF(LEFT(O$7,2)="to",1,0),RatesTable[],IF(LEFT(O$7,2)="in",6,7),0)),"")</f>
        <v>0.57099999999999995</v>
      </c>
      <c r="P48" s="69">
        <f>IFERROR(IF(LEN(VLOOKUP($B48&amp;$C48&amp;$C48+MID(P$7,4,IF(COLUMN()&gt;19,2,1))-IF(LEFT(P$7,2)="to",1,0),RatesTable[],IF(LEFT(P$7,2)="in",6,7),0))=0,"",VLOOKUP($B48&amp;$C48&amp;$C48+MID(P$7,4,IF(COLUMN()&gt;19,2,1))-IF(LEFT(P$7,2)="to",1,0),RatesTable[],IF(LEFT(P$7,2)="in",6,7),0)),"")</f>
        <v>0</v>
      </c>
      <c r="Q48" s="69">
        <f>IFERROR(IF(LEN(VLOOKUP($B48&amp;$C48&amp;$C48+MID(Q$7,4,IF(COLUMN()&gt;19,2,1))-IF(LEFT(Q$7,2)="to",1,0),RatesTable[],IF(LEFT(Q$7,2)="in",6,7),0))=0,"",VLOOKUP($B48&amp;$C48&amp;$C48+MID(Q$7,4,IF(COLUMN()&gt;19,2,1))-IF(LEFT(Q$7,2)="to",1,0),RatesTable[],IF(LEFT(Q$7,2)="in",6,7),0)),"")</f>
        <v>0.57099999999999995</v>
      </c>
      <c r="R48" s="69">
        <f>IFERROR(IF(LEN(VLOOKUP($B48&amp;$C48&amp;$C48+MID(R$7,4,IF(COLUMN()&gt;19,2,1))-IF(LEFT(R$7,2)="to",1,0),RatesTable[],IF(LEFT(R$7,2)="in",6,7),0))=0,"",VLOOKUP($B48&amp;$C48&amp;$C48+MID(R$7,4,IF(COLUMN()&gt;19,2,1))-IF(LEFT(R$7,2)="to",1,0),RatesTable[],IF(LEFT(R$7,2)="in",6,7),0)),"")</f>
        <v>0</v>
      </c>
      <c r="S48" s="69">
        <f>IFERROR(IF(LEN(VLOOKUP($B48&amp;$C48&amp;$C48+MID(S$7,4,IF(COLUMN()&gt;19,2,1))-IF(LEFT(S$7,2)="to",1,0),RatesTable[],IF(LEFT(S$7,2)="in",6,7),0))=0,"",VLOOKUP($B48&amp;$C48&amp;$C48+MID(S$7,4,IF(COLUMN()&gt;19,2,1))-IF(LEFT(S$7,2)="to",1,0),RatesTable[],IF(LEFT(S$7,2)="in",6,7),0)),"")</f>
        <v>0.57099999999999995</v>
      </c>
      <c r="T48" s="69">
        <f>IFERROR(IF(LEN(VLOOKUP($B48&amp;$C48&amp;$C48+MID(T$7,4,IF(COLUMN()&gt;19,2,1))-IF(LEFT(T$7,2)="to",1,0),RatesTable[],IF(LEFT(T$7,2)="in",6,7),0))=0,"",VLOOKUP($B48&amp;$C48&amp;$C48+MID(T$7,4,IF(COLUMN()&gt;19,2,1))-IF(LEFT(T$7,2)="to",1,0),RatesTable[],IF(LEFT(T$7,2)="in",6,7),0)),"")</f>
        <v>0</v>
      </c>
      <c r="U48" s="71">
        <f>4/7</f>
        <v>0.5714285714285714</v>
      </c>
      <c r="V48" s="124">
        <v>0</v>
      </c>
      <c r="W48" s="16"/>
      <c r="X48" s="139"/>
      <c r="Y48" s="16"/>
    </row>
    <row r="49" spans="1:25" ht="15" customHeight="1" x14ac:dyDescent="0.2">
      <c r="A49" s="141" t="str">
        <f t="shared" si="0"/>
        <v>0053</v>
      </c>
      <c r="B49" s="101" t="s">
        <v>55</v>
      </c>
      <c r="C49" s="102">
        <v>2005</v>
      </c>
      <c r="D49" s="60">
        <f>IFERROR(IF(LEN(VLOOKUP($B49&amp;$C49,HeadcountAndScoresTable[],IF(D$7="Count",5,IF(D$7="ACT",6,7)),0))=0,"",VLOOKUP($B49&amp;$C49,HeadcountAndScoresTable[],IF(D$7="Count",5,IF(D$7="ACT",6,7)),0)),"")</f>
        <v>11</v>
      </c>
      <c r="E49" s="98">
        <f>IFERROR(IF(LEN(VLOOKUP($B49&amp;$C49,HeadcountAndScoresTable[],IF(E$7="Count",5,IF(E$7="ACT",6,7)),0))=0,"",VLOOKUP($B49&amp;$C49,HeadcountAndScoresTable[],IF(E$7="Count",5,IF(E$7="ACT",6,7)),0)),"")</f>
        <v>19.399999999999999</v>
      </c>
      <c r="F49" s="99" t="str">
        <f>IFERROR(IF(LEN(VLOOKUP($B49&amp;$C49,HeadcountAndScoresTable[],IF(F$7="Count",5,IF(F$7="ACT",6,7)),0))=0,"",VLOOKUP($B49&amp;$C49,HeadcountAndScoresTable[],IF(F$7="Count",5,IF(F$7="ACT",6,7)),0)),"")</f>
        <v/>
      </c>
      <c r="G49" s="100">
        <f>IFERROR(IF(LEN(VLOOKUP($B49&amp;$C49&amp;$C49+MID(G$7,4,IF(COLUMN()&gt;19,2,1))-IF(LEFT(G$7,2)="to",1,0),RatesTable[],IF(LEFT(G$7,2)="in",6,7),0))=0,"",VLOOKUP($B49&amp;$C49&amp;$C49+MID(G$7,4,IF(COLUMN()&gt;19,2,1))-IF(LEFT(G$7,2)="to",1,0),RatesTable[],IF(LEFT(G$7,2)="in",6,7),0)),"")</f>
        <v>0.63600000000000001</v>
      </c>
      <c r="H49" s="71">
        <f>IFERROR(IF(LEN(VLOOKUP($B49&amp;$C49&amp;$C49+MID(H$7,4,IF(COLUMN()&gt;19,2,1))-IF(LEFT(H$7,2)="to",1,0),RatesTable[],IF(LEFT(H$7,2)="in",6,7),0))=0,"",VLOOKUP($B49&amp;$C49&amp;$C49+MID(H$7,4,IF(COLUMN()&gt;19,2,1))-IF(LEFT(H$7,2)="to",1,0),RatesTable[],IF(LEFT(H$7,2)="in",6,7),0)),"")</f>
        <v>0.45500000000000002</v>
      </c>
      <c r="I49" s="71">
        <f>IFERROR(IF(LEN(VLOOKUP($B49&amp;$C49&amp;$C49+MID(I$7,4,IF(COLUMN()&gt;19,2,1))-IF(LEFT(I$7,2)="to",1,0),RatesTable[],IF(LEFT(I$7,2)="in",6,7),0))=0,"",VLOOKUP($B49&amp;$C49&amp;$C49+MID(I$7,4,IF(COLUMN()&gt;19,2,1))-IF(LEFT(I$7,2)="to",1,0),RatesTable[],IF(LEFT(I$7,2)="in",6,7),0)),"")</f>
        <v>0</v>
      </c>
      <c r="J49" s="71">
        <f>IFERROR(IF(LEN(VLOOKUP($B49&amp;$C49&amp;$C49+MID(J$7,4,IF(COLUMN()&gt;19,2,1))-IF(LEFT(J$7,2)="to",1,0),RatesTable[],IF(LEFT(J$7,2)="in",6,7),0))=0,"",VLOOKUP($B49&amp;$C49&amp;$C49+MID(J$7,4,IF(COLUMN()&gt;19,2,1))-IF(LEFT(J$7,2)="to",1,0),RatesTable[],IF(LEFT(J$7,2)="in",6,7),0)),"")</f>
        <v>0.36399999999999999</v>
      </c>
      <c r="K49" s="71">
        <f>IFERROR(IF(LEN(VLOOKUP($B49&amp;$C49&amp;$C49+MID(K$7,4,IF(COLUMN()&gt;19,2,1))-IF(LEFT(K$7,2)="to",1,0),RatesTable[],IF(LEFT(K$7,2)="in",6,7),0))=0,"",VLOOKUP($B49&amp;$C49&amp;$C49+MID(K$7,4,IF(COLUMN()&gt;19,2,1))-IF(LEFT(K$7,2)="to",1,0),RatesTable[],IF(LEFT(K$7,2)="in",6,7),0)),"")</f>
        <v>0.182</v>
      </c>
      <c r="L49" s="71">
        <f>IFERROR(IF(LEN(VLOOKUP($B49&amp;$C49&amp;$C49+MID(L$7,4,IF(COLUMN()&gt;19,2,1))-IF(LEFT(L$7,2)="to",1,0),RatesTable[],IF(LEFT(L$7,2)="in",6,7),0))=0,"",VLOOKUP($B49&amp;$C49&amp;$C49+MID(L$7,4,IF(COLUMN()&gt;19,2,1))-IF(LEFT(L$7,2)="to",1,0),RatesTable[],IF(LEFT(L$7,2)="in",6,7),0)),"")</f>
        <v>0.182</v>
      </c>
      <c r="M49" s="69">
        <f>IFERROR(IF(LEN(VLOOKUP($B49&amp;$C49&amp;$C49+MID(M$7,4,IF(COLUMN()&gt;19,2,1))-IF(LEFT(M$7,2)="to",1,0),RatesTable[],IF(LEFT(M$7,2)="in",6,7),0))=0,"",VLOOKUP($B49&amp;$C49&amp;$C49+MID(M$7,4,IF(COLUMN()&gt;19,2,1))-IF(LEFT(M$7,2)="to",1,0),RatesTable[],IF(LEFT(M$7,2)="in",6,7),0)),"")</f>
        <v>0.27300000000000002</v>
      </c>
      <c r="N49" s="69">
        <f>IFERROR(IF(LEN(VLOOKUP($B49&amp;$C49&amp;$C49+MID(N$7,4,IF(COLUMN()&gt;19,2,1))-IF(LEFT(N$7,2)="to",1,0),RatesTable[],IF(LEFT(N$7,2)="in",6,7),0))=0,"",VLOOKUP($B49&amp;$C49&amp;$C49+MID(N$7,4,IF(COLUMN()&gt;19,2,1))-IF(LEFT(N$7,2)="to",1,0),RatesTable[],IF(LEFT(N$7,2)="in",6,7),0)),"")</f>
        <v>0</v>
      </c>
      <c r="O49" s="69">
        <f>IFERROR(IF(LEN(VLOOKUP($B49&amp;$C49&amp;$C49+MID(O$7,4,IF(COLUMN()&gt;19,2,1))-IF(LEFT(O$7,2)="to",1,0),RatesTable[],IF(LEFT(O$7,2)="in",6,7),0))=0,"",VLOOKUP($B49&amp;$C49&amp;$C49+MID(O$7,4,IF(COLUMN()&gt;19,2,1))-IF(LEFT(O$7,2)="to",1,0),RatesTable[],IF(LEFT(O$7,2)="in",6,7),0)),"")</f>
        <v>0.27300000000000002</v>
      </c>
      <c r="P49" s="69">
        <f>IFERROR(IF(LEN(VLOOKUP($B49&amp;$C49&amp;$C49+MID(P$7,4,IF(COLUMN()&gt;19,2,1))-IF(LEFT(P$7,2)="to",1,0),RatesTable[],IF(LEFT(P$7,2)="in",6,7),0))=0,"",VLOOKUP($B49&amp;$C49&amp;$C49+MID(P$7,4,IF(COLUMN()&gt;19,2,1))-IF(LEFT(P$7,2)="to",1,0),RatesTable[],IF(LEFT(P$7,2)="in",6,7),0)),"")</f>
        <v>0</v>
      </c>
      <c r="Q49" s="64">
        <f>IFERROR(IF(LEN(VLOOKUP($B49&amp;$C49&amp;$C49+MID(Q$7,4,IF(COLUMN()&gt;19,2,1))-IF(LEFT(Q$7,2)="to",1,0),RatesTable[],IF(LEFT(Q$7,2)="in",6,7),0))=0,"",VLOOKUP($B49&amp;$C49&amp;$C49+MID(Q$7,4,IF(COLUMN()&gt;19,2,1))-IF(LEFT(Q$7,2)="to",1,0),RatesTable[],IF(LEFT(Q$7,2)="in",6,7),0)),"")</f>
        <v>0.27300000000000002</v>
      </c>
      <c r="R49" s="64">
        <f>IFERROR(IF(LEN(VLOOKUP($B49&amp;$C49&amp;$C49+MID(R$7,4,IF(COLUMN()&gt;19,2,1))-IF(LEFT(R$7,2)="to",1,0),RatesTable[],IF(LEFT(R$7,2)="in",6,7),0))=0,"",VLOOKUP($B49&amp;$C49&amp;$C49+MID(R$7,4,IF(COLUMN()&gt;19,2,1))-IF(LEFT(R$7,2)="to",1,0),RatesTable[],IF(LEFT(R$7,2)="in",6,7),0)),"")</f>
        <v>9.0999999999999998E-2</v>
      </c>
      <c r="S49" s="71">
        <f>3/11</f>
        <v>0.27272727272727271</v>
      </c>
      <c r="T49" s="71">
        <v>0</v>
      </c>
      <c r="V49" s="123"/>
      <c r="W49" s="16"/>
      <c r="X49" s="139"/>
      <c r="Y49" s="16"/>
    </row>
    <row r="50" spans="1:25" ht="15" customHeight="1" x14ac:dyDescent="0.2">
      <c r="A50" s="141" t="str">
        <f t="shared" si="0"/>
        <v>0053</v>
      </c>
      <c r="B50" s="101" t="s">
        <v>55</v>
      </c>
      <c r="C50" s="102">
        <v>2006</v>
      </c>
      <c r="D50" s="60">
        <f>IFERROR(IF(LEN(VLOOKUP($B50&amp;$C50,HeadcountAndScoresTable[],IF(D$7="Count",5,IF(D$7="ACT",6,7)),0))=0,"",VLOOKUP($B50&amp;$C50,HeadcountAndScoresTable[],IF(D$7="Count",5,IF(D$7="ACT",6,7)),0)),"")</f>
        <v>18</v>
      </c>
      <c r="E50" s="98">
        <f>IFERROR(IF(LEN(VLOOKUP($B50&amp;$C50,HeadcountAndScoresTable[],IF(E$7="Count",5,IF(E$7="ACT",6,7)),0))=0,"",VLOOKUP($B50&amp;$C50,HeadcountAndScoresTable[],IF(E$7="Count",5,IF(E$7="ACT",6,7)),0)),"")</f>
        <v>22</v>
      </c>
      <c r="F50" s="99" t="str">
        <f>IFERROR(IF(LEN(VLOOKUP($B50&amp;$C50,HeadcountAndScoresTable[],IF(F$7="Count",5,IF(F$7="ACT",6,7)),0))=0,"",VLOOKUP($B50&amp;$C50,HeadcountAndScoresTable[],IF(F$7="Count",5,IF(F$7="ACT",6,7)),0)),"")</f>
        <v/>
      </c>
      <c r="G50" s="100">
        <f>IFERROR(IF(LEN(VLOOKUP($B50&amp;$C50&amp;$C50+MID(G$7,4,IF(COLUMN()&gt;19,2,1))-IF(LEFT(G$7,2)="to",1,0),RatesTable[],IF(LEFT(G$7,2)="in",6,7),0))=0,"",VLOOKUP($B50&amp;$C50&amp;$C50+MID(G$7,4,IF(COLUMN()&gt;19,2,1))-IF(LEFT(G$7,2)="to",1,0),RatesTable[],IF(LEFT(G$7,2)="in",6,7),0)),"")</f>
        <v>0.72199999999999998</v>
      </c>
      <c r="H50" s="71">
        <f>IFERROR(IF(LEN(VLOOKUP($B50&amp;$C50&amp;$C50+MID(H$7,4,IF(COLUMN()&gt;19,2,1))-IF(LEFT(H$7,2)="to",1,0),RatesTable[],IF(LEFT(H$7,2)="in",6,7),0))=0,"",VLOOKUP($B50&amp;$C50&amp;$C50+MID(H$7,4,IF(COLUMN()&gt;19,2,1))-IF(LEFT(H$7,2)="to",1,0),RatesTable[],IF(LEFT(H$7,2)="in",6,7),0)),"")</f>
        <v>0.38900000000000001</v>
      </c>
      <c r="I50" s="71">
        <f>IFERROR(IF(LEN(VLOOKUP($B50&amp;$C50&amp;$C50+MID(I$7,4,IF(COLUMN()&gt;19,2,1))-IF(LEFT(I$7,2)="to",1,0),RatesTable[],IF(LEFT(I$7,2)="in",6,7),0))=0,"",VLOOKUP($B50&amp;$C50&amp;$C50+MID(I$7,4,IF(COLUMN()&gt;19,2,1))-IF(LEFT(I$7,2)="to",1,0),RatesTable[],IF(LEFT(I$7,2)="in",6,7),0)),"")</f>
        <v>0.111</v>
      </c>
      <c r="J50" s="71">
        <f>IFERROR(IF(LEN(VLOOKUP($B50&amp;$C50&amp;$C50+MID(J$7,4,IF(COLUMN()&gt;19,2,1))-IF(LEFT(J$7,2)="to",1,0),RatesTable[],IF(LEFT(J$7,2)="in",6,7),0))=0,"",VLOOKUP($B50&amp;$C50&amp;$C50+MID(J$7,4,IF(COLUMN()&gt;19,2,1))-IF(LEFT(J$7,2)="to",1,0),RatesTable[],IF(LEFT(J$7,2)="in",6,7),0)),"")</f>
        <v>0.16700000000000001</v>
      </c>
      <c r="K50" s="71">
        <f>IFERROR(IF(LEN(VLOOKUP($B50&amp;$C50&amp;$C50+MID(K$7,4,IF(COLUMN()&gt;19,2,1))-IF(LEFT(K$7,2)="to",1,0),RatesTable[],IF(LEFT(K$7,2)="in",6,7),0))=0,"",VLOOKUP($B50&amp;$C50&amp;$C50+MID(K$7,4,IF(COLUMN()&gt;19,2,1))-IF(LEFT(K$7,2)="to",1,0),RatesTable[],IF(LEFT(K$7,2)="in",6,7),0)),"")</f>
        <v>0.16700000000000001</v>
      </c>
      <c r="L50" s="71">
        <f>IFERROR(IF(LEN(VLOOKUP($B50&amp;$C50&amp;$C50+MID(L$7,4,IF(COLUMN()&gt;19,2,1))-IF(LEFT(L$7,2)="to",1,0),RatesTable[],IF(LEFT(L$7,2)="in",6,7),0))=0,"",VLOOKUP($B50&amp;$C50&amp;$C50+MID(L$7,4,IF(COLUMN()&gt;19,2,1))-IF(LEFT(L$7,2)="to",1,0),RatesTable[],IF(LEFT(L$7,2)="in",6,7),0)),"")</f>
        <v>0.111</v>
      </c>
      <c r="M50" s="71">
        <f>IFERROR(IF(LEN(VLOOKUP($B50&amp;$C50&amp;$C50+MID(M$7,4,IF(COLUMN()&gt;19,2,1))-IF(LEFT(M$7,2)="to",1,0),RatesTable[],IF(LEFT(M$7,2)="in",6,7),0))=0,"",VLOOKUP($B50&amp;$C50&amp;$C50+MID(M$7,4,IF(COLUMN()&gt;19,2,1))-IF(LEFT(M$7,2)="to",1,0),RatesTable[],IF(LEFT(M$7,2)="in",6,7),0)),"")</f>
        <v>0.222</v>
      </c>
      <c r="N50" s="71">
        <f>IFERROR(IF(LEN(VLOOKUP($B50&amp;$C50&amp;$C50+MID(N$7,4,IF(COLUMN()&gt;19,2,1))-IF(LEFT(N$7,2)="to",1,0),RatesTable[],IF(LEFT(N$7,2)="in",6,7),0))=0,"",VLOOKUP($B50&amp;$C50&amp;$C50+MID(N$7,4,IF(COLUMN()&gt;19,2,1))-IF(LEFT(N$7,2)="to",1,0),RatesTable[],IF(LEFT(N$7,2)="in",6,7),0)),"")</f>
        <v>0</v>
      </c>
      <c r="O50" s="69">
        <f>IFERROR(IF(LEN(VLOOKUP($B50&amp;$C50&amp;$C50+MID(O$7,4,IF(COLUMN()&gt;19,2,1))-IF(LEFT(O$7,2)="to",1,0),RatesTable[],IF(LEFT(O$7,2)="in",6,7),0))=0,"",VLOOKUP($B50&amp;$C50&amp;$C50+MID(O$7,4,IF(COLUMN()&gt;19,2,1))-IF(LEFT(O$7,2)="to",1,0),RatesTable[],IF(LEFT(O$7,2)="in",6,7),0)),"")</f>
        <v>0.27800000000000002</v>
      </c>
      <c r="P50" s="69">
        <f>IFERROR(IF(LEN(VLOOKUP($B50&amp;$C50&amp;$C50+MID(P$7,4,IF(COLUMN()&gt;19,2,1))-IF(LEFT(P$7,2)="to",1,0),RatesTable[],IF(LEFT(P$7,2)="in",6,7),0))=0,"",VLOOKUP($B50&amp;$C50&amp;$C50+MID(P$7,4,IF(COLUMN()&gt;19,2,1))-IF(LEFT(P$7,2)="to",1,0),RatesTable[],IF(LEFT(P$7,2)="in",6,7),0)),"")</f>
        <v>0</v>
      </c>
      <c r="Q50" s="71">
        <f>6/18</f>
        <v>0.33333333333333331</v>
      </c>
      <c r="R50" s="71">
        <v>0</v>
      </c>
      <c r="V50" s="123"/>
      <c r="W50" s="137"/>
      <c r="X50" s="139"/>
      <c r="Y50" s="16"/>
    </row>
    <row r="51" spans="1:25" ht="15" customHeight="1" x14ac:dyDescent="0.2">
      <c r="A51" s="141" t="str">
        <f t="shared" si="0"/>
        <v>0053</v>
      </c>
      <c r="B51" s="101" t="s">
        <v>55</v>
      </c>
      <c r="C51" s="102">
        <v>2007</v>
      </c>
      <c r="D51" s="60">
        <f>IFERROR(IF(LEN(VLOOKUP($B51&amp;$C51,HeadcountAndScoresTable[],IF(D$7="Count",5,IF(D$7="ACT",6,7)),0))=0,"",VLOOKUP($B51&amp;$C51,HeadcountAndScoresTable[],IF(D$7="Count",5,IF(D$7="ACT",6,7)),0)),"")</f>
        <v>13</v>
      </c>
      <c r="E51" s="98">
        <f>IFERROR(IF(LEN(VLOOKUP($B51&amp;$C51,HeadcountAndScoresTable[],IF(E$7="Count",5,IF(E$7="ACT",6,7)),0))=0,"",VLOOKUP($B51&amp;$C51,HeadcountAndScoresTable[],IF(E$7="Count",5,IF(E$7="ACT",6,7)),0)),"")</f>
        <v>19.100000000000001</v>
      </c>
      <c r="F51" s="99" t="str">
        <f>IFERROR(IF(LEN(VLOOKUP($B51&amp;$C51,HeadcountAndScoresTable[],IF(F$7="Count",5,IF(F$7="ACT",6,7)),0))=0,"",VLOOKUP($B51&amp;$C51,HeadcountAndScoresTable[],IF(F$7="Count",5,IF(F$7="ACT",6,7)),0)),"")</f>
        <v/>
      </c>
      <c r="G51" s="100">
        <f>IFERROR(IF(LEN(VLOOKUP($B51&amp;$C51&amp;$C51+MID(G$7,4,IF(COLUMN()&gt;19,2,1))-IF(LEFT(G$7,2)="to",1,0),RatesTable[],IF(LEFT(G$7,2)="in",6,7),0))=0,"",VLOOKUP($B51&amp;$C51&amp;$C51+MID(G$7,4,IF(COLUMN()&gt;19,2,1))-IF(LEFT(G$7,2)="to",1,0),RatesTable[],IF(LEFT(G$7,2)="in",6,7),0)),"")</f>
        <v>0.61499999999999999</v>
      </c>
      <c r="H51" s="71">
        <f>IFERROR(IF(LEN(VLOOKUP($B51&amp;$C51&amp;$C51+MID(H$7,4,IF(COLUMN()&gt;19,2,1))-IF(LEFT(H$7,2)="to",1,0),RatesTable[],IF(LEFT(H$7,2)="in",6,7),0))=0,"",VLOOKUP($B51&amp;$C51&amp;$C51+MID(H$7,4,IF(COLUMN()&gt;19,2,1))-IF(LEFT(H$7,2)="to",1,0),RatesTable[],IF(LEFT(H$7,2)="in",6,7),0)),"")</f>
        <v>0.46200000000000002</v>
      </c>
      <c r="I51" s="71">
        <f>IFERROR(IF(LEN(VLOOKUP($B51&amp;$C51&amp;$C51+MID(I$7,4,IF(COLUMN()&gt;19,2,1))-IF(LEFT(I$7,2)="to",1,0),RatesTable[],IF(LEFT(I$7,2)="in",6,7),0))=0,"",VLOOKUP($B51&amp;$C51&amp;$C51+MID(I$7,4,IF(COLUMN()&gt;19,2,1))-IF(LEFT(I$7,2)="to",1,0),RatesTable[],IF(LEFT(I$7,2)="in",6,7),0)),"")</f>
        <v>0.154</v>
      </c>
      <c r="J51" s="71">
        <f>IFERROR(IF(LEN(VLOOKUP($B51&amp;$C51&amp;$C51+MID(J$7,4,IF(COLUMN()&gt;19,2,1))-IF(LEFT(J$7,2)="to",1,0),RatesTable[],IF(LEFT(J$7,2)="in",6,7),0))=0,"",VLOOKUP($B51&amp;$C51&amp;$C51+MID(J$7,4,IF(COLUMN()&gt;19,2,1))-IF(LEFT(J$7,2)="to",1,0),RatesTable[],IF(LEFT(J$7,2)="in",6,7),0)),"")</f>
        <v>0.154</v>
      </c>
      <c r="K51" s="71">
        <f>IFERROR(IF(LEN(VLOOKUP($B51&amp;$C51&amp;$C51+MID(K$7,4,IF(COLUMN()&gt;19,2,1))-IF(LEFT(K$7,2)="to",1,0),RatesTable[],IF(LEFT(K$7,2)="in",6,7),0))=0,"",VLOOKUP($B51&amp;$C51&amp;$C51+MID(K$7,4,IF(COLUMN()&gt;19,2,1))-IF(LEFT(K$7,2)="to",1,0),RatesTable[],IF(LEFT(K$7,2)="in",6,7),0)),"")</f>
        <v>0.23100000000000001</v>
      </c>
      <c r="L51" s="71">
        <f>IFERROR(IF(LEN(VLOOKUP($B51&amp;$C51&amp;$C51+MID(L$7,4,IF(COLUMN()&gt;19,2,1))-IF(LEFT(L$7,2)="to",1,0),RatesTable[],IF(LEFT(L$7,2)="in",6,7),0))=0,"",VLOOKUP($B51&amp;$C51&amp;$C51+MID(L$7,4,IF(COLUMN()&gt;19,2,1))-IF(LEFT(L$7,2)="to",1,0),RatesTable[],IF(LEFT(L$7,2)="in",6,7),0)),"")</f>
        <v>0</v>
      </c>
      <c r="M51" s="69">
        <f>IFERROR(IF(LEN(VLOOKUP($B51&amp;$C51&amp;$C51+MID(M$7,4,IF(COLUMN()&gt;19,2,1))-IF(LEFT(M$7,2)="to",1,0),RatesTable[],IF(LEFT(M$7,2)="in",6,7),0))=0,"",VLOOKUP($B51&amp;$C51&amp;$C51+MID(M$7,4,IF(COLUMN()&gt;19,2,1))-IF(LEFT(M$7,2)="to",1,0),RatesTable[],IF(LEFT(M$7,2)="in",6,7),0)),"")</f>
        <v>0.23100000000000001</v>
      </c>
      <c r="N51" s="69">
        <f>IFERROR(IF(LEN(VLOOKUP($B51&amp;$C51&amp;$C51+MID(N$7,4,IF(COLUMN()&gt;19,2,1))-IF(LEFT(N$7,2)="to",1,0),RatesTable[],IF(LEFT(N$7,2)="in",6,7),0))=0,"",VLOOKUP($B51&amp;$C51&amp;$C51+MID(N$7,4,IF(COLUMN()&gt;19,2,1))-IF(LEFT(N$7,2)="to",1,0),RatesTable[],IF(LEFT(N$7,2)="in",6,7),0)),"")</f>
        <v>0.154</v>
      </c>
      <c r="O51" s="71">
        <f>5/13</f>
        <v>0.38461538461538464</v>
      </c>
      <c r="P51" s="71">
        <f>1/13</f>
        <v>7.6923076923076927E-2</v>
      </c>
      <c r="V51" s="123"/>
      <c r="W51" s="16"/>
      <c r="X51" s="139"/>
      <c r="Y51" s="16"/>
    </row>
    <row r="52" spans="1:25" ht="15" customHeight="1" x14ac:dyDescent="0.2">
      <c r="A52" s="141" t="str">
        <f t="shared" si="0"/>
        <v>0053</v>
      </c>
      <c r="B52" s="101" t="s">
        <v>55</v>
      </c>
      <c r="C52" s="102">
        <v>2008</v>
      </c>
      <c r="D52" s="60">
        <f>IFERROR(IF(LEN(VLOOKUP($B52&amp;$C52,HeadcountAndScoresTable[],IF(D$7="Count",5,IF(D$7="ACT",6,7)),0))=0,"",VLOOKUP($B52&amp;$C52,HeadcountAndScoresTable[],IF(D$7="Count",5,IF(D$7="ACT",6,7)),0)),"")</f>
        <v>22</v>
      </c>
      <c r="E52" s="98">
        <f>IFERROR(IF(LEN(VLOOKUP($B52&amp;$C52,HeadcountAndScoresTable[],IF(E$7="Count",5,IF(E$7="ACT",6,7)),0))=0,"",VLOOKUP($B52&amp;$C52,HeadcountAndScoresTable[],IF(E$7="Count",5,IF(E$7="ACT",6,7)),0)),"")</f>
        <v>19.100000000000001</v>
      </c>
      <c r="F52" s="99" t="str">
        <f>IFERROR(IF(LEN(VLOOKUP($B52&amp;$C52,HeadcountAndScoresTable[],IF(F$7="Count",5,IF(F$7="ACT",6,7)),0))=0,"",VLOOKUP($B52&amp;$C52,HeadcountAndScoresTable[],IF(F$7="Count",5,IF(F$7="ACT",6,7)),0)),"")</f>
        <v/>
      </c>
      <c r="G52" s="100">
        <f>IFERROR(IF(LEN(VLOOKUP($B52&amp;$C52&amp;$C52+MID(G$7,4,IF(COLUMN()&gt;19,2,1))-IF(LEFT(G$7,2)="to",1,0),RatesTable[],IF(LEFT(G$7,2)="in",6,7),0))=0,"",VLOOKUP($B52&amp;$C52&amp;$C52+MID(G$7,4,IF(COLUMN()&gt;19,2,1))-IF(LEFT(G$7,2)="to",1,0),RatesTable[],IF(LEFT(G$7,2)="in",6,7),0)),"")</f>
        <v>0.95499999999999996</v>
      </c>
      <c r="H52" s="71">
        <f>IFERROR(IF(LEN(VLOOKUP($B52&amp;$C52&amp;$C52+MID(H$7,4,IF(COLUMN()&gt;19,2,1))-IF(LEFT(H$7,2)="to",1,0),RatesTable[],IF(LEFT(H$7,2)="in",6,7),0))=0,"",VLOOKUP($B52&amp;$C52&amp;$C52+MID(H$7,4,IF(COLUMN()&gt;19,2,1))-IF(LEFT(H$7,2)="to",1,0),RatesTable[],IF(LEFT(H$7,2)="in",6,7),0)),"")</f>
        <v>0.72699999999999998</v>
      </c>
      <c r="I52" s="71">
        <f>IFERROR(IF(LEN(VLOOKUP($B52&amp;$C52&amp;$C52+MID(I$7,4,IF(COLUMN()&gt;19,2,1))-IF(LEFT(I$7,2)="to",1,0),RatesTable[],IF(LEFT(I$7,2)="in",6,7),0))=0,"",VLOOKUP($B52&amp;$C52&amp;$C52+MID(I$7,4,IF(COLUMN()&gt;19,2,1))-IF(LEFT(I$7,2)="to",1,0),RatesTable[],IF(LEFT(I$7,2)="in",6,7),0)),"")</f>
        <v>9.0999999999999998E-2</v>
      </c>
      <c r="J52" s="71">
        <f>IFERROR(IF(LEN(VLOOKUP($B52&amp;$C52&amp;$C52+MID(J$7,4,IF(COLUMN()&gt;19,2,1))-IF(LEFT(J$7,2)="to",1,0),RatesTable[],IF(LEFT(J$7,2)="in",6,7),0))=0,"",VLOOKUP($B52&amp;$C52&amp;$C52+MID(J$7,4,IF(COLUMN()&gt;19,2,1))-IF(LEFT(J$7,2)="to",1,0),RatesTable[],IF(LEFT(J$7,2)="in",6,7),0)),"")</f>
        <v>0.40899999999999997</v>
      </c>
      <c r="K52" s="69">
        <f>IFERROR(IF(LEN(VLOOKUP($B52&amp;$C52&amp;$C52+MID(K$7,4,IF(COLUMN()&gt;19,2,1))-IF(LEFT(K$7,2)="to",1,0),RatesTable[],IF(LEFT(K$7,2)="in",6,7),0))=0,"",VLOOKUP($B52&amp;$C52&amp;$C52+MID(K$7,4,IF(COLUMN()&gt;19,2,1))-IF(LEFT(K$7,2)="to",1,0),RatesTable[],IF(LEFT(K$7,2)="in",6,7),0)),"")</f>
        <v>0.36399999999999999</v>
      </c>
      <c r="L52" s="69">
        <f>IFERROR(IF(LEN(VLOOKUP($B52&amp;$C52&amp;$C52+MID(L$7,4,IF(COLUMN()&gt;19,2,1))-IF(LEFT(L$7,2)="to",1,0),RatesTable[],IF(LEFT(L$7,2)="in",6,7),0))=0,"",VLOOKUP($B52&amp;$C52&amp;$C52+MID(L$7,4,IF(COLUMN()&gt;19,2,1))-IF(LEFT(L$7,2)="to",1,0),RatesTable[],IF(LEFT(L$7,2)="in",6,7),0)),"")</f>
        <v>0.13600000000000001</v>
      </c>
      <c r="M52" s="71">
        <f>10/22</f>
        <v>0.45454545454545453</v>
      </c>
      <c r="N52" s="71">
        <f>2/22</f>
        <v>9.0909090909090912E-2</v>
      </c>
      <c r="O52" s="85"/>
      <c r="P52" s="85"/>
      <c r="V52" s="123"/>
      <c r="W52" s="16"/>
      <c r="X52" s="139"/>
      <c r="Y52" s="16"/>
    </row>
    <row r="53" spans="1:25" ht="15" customHeight="1" x14ac:dyDescent="0.2">
      <c r="A53" s="141" t="str">
        <f t="shared" si="0"/>
        <v>0053</v>
      </c>
      <c r="B53" s="101" t="s">
        <v>55</v>
      </c>
      <c r="C53" s="102">
        <v>2009</v>
      </c>
      <c r="D53" s="60">
        <f>IFERROR(IF(LEN(VLOOKUP($B53&amp;$C53,HeadcountAndScoresTable[],IF(D$7="Count",5,IF(D$7="ACT",6,7)),0))=0,"",VLOOKUP($B53&amp;$C53,HeadcountAndScoresTable[],IF(D$7="Count",5,IF(D$7="ACT",6,7)),0)),"")</f>
        <v>16</v>
      </c>
      <c r="E53" s="98">
        <f>IFERROR(IF(LEN(VLOOKUP($B53&amp;$C53,HeadcountAndScoresTable[],IF(E$7="Count",5,IF(E$7="ACT",6,7)),0))=0,"",VLOOKUP($B53&amp;$C53,HeadcountAndScoresTable[],IF(E$7="Count",5,IF(E$7="ACT",6,7)),0)),"")</f>
        <v>21.4</v>
      </c>
      <c r="F53" s="99" t="str">
        <f>IFERROR(IF(LEN(VLOOKUP($B53&amp;$C53,HeadcountAndScoresTable[],IF(F$7="Count",5,IF(F$7="ACT",6,7)),0))=0,"",VLOOKUP($B53&amp;$C53,HeadcountAndScoresTable[],IF(F$7="Count",5,IF(F$7="ACT",6,7)),0)),"")</f>
        <v/>
      </c>
      <c r="G53" s="100">
        <f>IFERROR(IF(LEN(VLOOKUP($B53&amp;$C53&amp;$C53+MID(G$7,4,IF(COLUMN()&gt;19,2,1))-IF(LEFT(G$7,2)="to",1,0),RatesTable[],IF(LEFT(G$7,2)="in",6,7),0))=0,"",VLOOKUP($B53&amp;$C53&amp;$C53+MID(G$7,4,IF(COLUMN()&gt;19,2,1))-IF(LEFT(G$7,2)="to",1,0),RatesTable[],IF(LEFT(G$7,2)="in",6,7),0)),"")</f>
        <v>0.68799999999999994</v>
      </c>
      <c r="H53" s="71">
        <f>IFERROR(IF(LEN(VLOOKUP($B53&amp;$C53&amp;$C53+MID(H$7,4,IF(COLUMN()&gt;19,2,1))-IF(LEFT(H$7,2)="to",1,0),RatesTable[],IF(LEFT(H$7,2)="in",6,7),0))=0,"",VLOOKUP($B53&amp;$C53&amp;$C53+MID(H$7,4,IF(COLUMN()&gt;19,2,1))-IF(LEFT(H$7,2)="to",1,0),RatesTable[],IF(LEFT(H$7,2)="in",6,7),0)),"")</f>
        <v>0.5</v>
      </c>
      <c r="I53" s="69">
        <f>IFERROR(IF(LEN(VLOOKUP($B53&amp;$C53&amp;$C53+MID(I$7,4,IF(COLUMN()&gt;19,2,1))-IF(LEFT(I$7,2)="to",1,0),RatesTable[],IF(LEFT(I$7,2)="in",6,7),0))=0,"",VLOOKUP($B53&amp;$C53&amp;$C53+MID(I$7,4,IF(COLUMN()&gt;19,2,1))-IF(LEFT(I$7,2)="to",1,0),RatesTable[],IF(LEFT(I$7,2)="in",6,7),0)),"")</f>
        <v>0.125</v>
      </c>
      <c r="J53" s="63">
        <f>IFERROR(IF(LEN(VLOOKUP($B53&amp;$C53&amp;$C53+MID(J$7,4,IF(COLUMN()&gt;19,2,1))-IF(LEFT(J$7,2)="to",1,0),RatesTable[],IF(LEFT(J$7,2)="in",6,7),0))=0,"",VLOOKUP($B53&amp;$C53&amp;$C53+MID(J$7,4,IF(COLUMN()&gt;19,2,1))-IF(LEFT(J$7,2)="to",1,0),RatesTable[],IF(LEFT(J$7,2)="in",6,7),0)),"")</f>
        <v>0.313</v>
      </c>
      <c r="K53" s="71">
        <f>4/16</f>
        <v>0.25</v>
      </c>
      <c r="L53" s="71">
        <f>1/16</f>
        <v>6.25E-2</v>
      </c>
      <c r="M53" s="88"/>
      <c r="N53" s="88"/>
      <c r="O53" s="86"/>
      <c r="P53" s="86"/>
      <c r="Q53" s="87"/>
      <c r="R53" s="87"/>
      <c r="V53" s="123"/>
      <c r="W53" s="16"/>
      <c r="X53" s="139"/>
      <c r="Y53" s="16"/>
    </row>
    <row r="54" spans="1:25" ht="15" customHeight="1" x14ac:dyDescent="0.2">
      <c r="A54" s="141" t="str">
        <f t="shared" si="0"/>
        <v>0053</v>
      </c>
      <c r="B54" s="101" t="s">
        <v>55</v>
      </c>
      <c r="C54" s="102">
        <v>2010</v>
      </c>
      <c r="D54" s="60">
        <f>IFERROR(IF(LEN(VLOOKUP($B54&amp;$C54,HeadcountAndScoresTable[],IF(D$7="Count",5,IF(D$7="ACT",6,7)),0))=0,"",VLOOKUP($B54&amp;$C54,HeadcountAndScoresTable[],IF(D$7="Count",5,IF(D$7="ACT",6,7)),0)),"")</f>
        <v>21</v>
      </c>
      <c r="E54" s="98">
        <f>IFERROR(IF(LEN(VLOOKUP($B54&amp;$C54,HeadcountAndScoresTable[],IF(E$7="Count",5,IF(E$7="ACT",6,7)),0))=0,"",VLOOKUP($B54&amp;$C54,HeadcountAndScoresTable[],IF(E$7="Count",5,IF(E$7="ACT",6,7)),0)),"")</f>
        <v>21.1</v>
      </c>
      <c r="F54" s="99" t="str">
        <f>IFERROR(IF(LEN(VLOOKUP($B54&amp;$C54,HeadcountAndScoresTable[],IF(F$7="Count",5,IF(F$7="ACT",6,7)),0))=0,"",VLOOKUP($B54&amp;$C54,HeadcountAndScoresTable[],IF(F$7="Count",5,IF(F$7="ACT",6,7)),0)),"")</f>
        <v/>
      </c>
      <c r="G54" s="61">
        <f>IFERROR(IF(LEN(VLOOKUP($B54&amp;$C54&amp;$C54+MID(G$7,4,IF(COLUMN()&gt;19,2,1))-IF(LEFT(G$7,2)="to",1,0),RatesTable[],IF(LEFT(G$7,2)="in",6,7),0))=0,"",VLOOKUP($B54&amp;$C54&amp;$C54+MID(G$7,4,IF(COLUMN()&gt;19,2,1))-IF(LEFT(G$7,2)="to",1,0),RatesTable[],IF(LEFT(G$7,2)="in",6,7),0)),"")</f>
        <v>0.76200000000000001</v>
      </c>
      <c r="H54" s="70">
        <f>IFERROR(IF(LEN(VLOOKUP($B54&amp;$C54&amp;$C54+MID(H$7,4,IF(COLUMN()&gt;19,2,1))-IF(LEFT(H$7,2)="to",1,0),RatesTable[],IF(LEFT(H$7,2)="in",6,7),0))=0,"",VLOOKUP($B54&amp;$C54&amp;$C54+MID(H$7,4,IF(COLUMN()&gt;19,2,1))-IF(LEFT(H$7,2)="to",1,0),RatesTable[],IF(LEFT(H$7,2)="in",6,7),0)),"")</f>
        <v>0.66700000000000004</v>
      </c>
      <c r="I54" s="71">
        <f>2/21</f>
        <v>9.5238095238095233E-2</v>
      </c>
      <c r="J54" s="71">
        <f>9/21</f>
        <v>0.42857142857142855</v>
      </c>
      <c r="K54" s="88"/>
      <c r="L54" s="88"/>
      <c r="M54" s="88"/>
      <c r="N54" s="88"/>
      <c r="O54" s="86"/>
      <c r="P54" s="86"/>
      <c r="Q54" s="87"/>
      <c r="R54" s="87"/>
      <c r="V54" s="123"/>
      <c r="W54" s="16"/>
      <c r="X54" s="139"/>
      <c r="Y54" s="16"/>
    </row>
    <row r="55" spans="1:25" ht="15" customHeight="1" x14ac:dyDescent="0.2">
      <c r="A55" s="141" t="str">
        <f t="shared" si="0"/>
        <v>0053</v>
      </c>
      <c r="B55" s="101" t="s">
        <v>55</v>
      </c>
      <c r="C55" s="102">
        <v>2011</v>
      </c>
      <c r="D55" s="60">
        <f>IFERROR(IF(LEN(VLOOKUP($B55&amp;$C55,HeadcountAndScoresTable[],IF(D$7="Count",5,IF(D$7="ACT",6,7)),0))=0,"",VLOOKUP($B55&amp;$C55,HeadcountAndScoresTable[],IF(D$7="Count",5,IF(D$7="ACT",6,7)),0)),"")</f>
        <v>19</v>
      </c>
      <c r="E55" s="98">
        <f>IFERROR(IF(LEN(VLOOKUP($B55&amp;$C55,HeadcountAndScoresTable[],IF(E$7="Count",5,IF(E$7="ACT",6,7)),0))=0,"",VLOOKUP($B55&amp;$C55,HeadcountAndScoresTable[],IF(E$7="Count",5,IF(E$7="ACT",6,7)),0)),"")</f>
        <v>21.7</v>
      </c>
      <c r="F55" s="99" t="str">
        <f>IFERROR(IF(LEN(VLOOKUP($B55&amp;$C55,HeadcountAndScoresTable[],IF(F$7="Count",5,IF(F$7="ACT",6,7)),0))=0,"",VLOOKUP($B55&amp;$C55,HeadcountAndScoresTable[],IF(F$7="Count",5,IF(F$7="ACT",6,7)),0)),"")</f>
        <v/>
      </c>
      <c r="G55" s="61">
        <f>IFERROR(IF(LEN(VLOOKUP($B55&amp;$C55&amp;$C55+MID(G$7,4,IF(COLUMN()&gt;19,2,1))-IF(LEFT(G$7,2)="to",1,0),RatesTable[],IF(LEFT(G$7,2)="in",6,7),0))=0,"",VLOOKUP($B55&amp;$C55&amp;$C55+MID(G$7,4,IF(COLUMN()&gt;19,2,1))-IF(LEFT(G$7,2)="to",1,0),RatesTable[],IF(LEFT(G$7,2)="in",6,7),0)),"")</f>
        <v>0.73699999999999999</v>
      </c>
      <c r="H55" s="71">
        <f>IFERROR(IF(LEN(VLOOKUP($B55&amp;$C55&amp;$C55+MID(H$7,4,IF(COLUMN()&gt;19,2,1))-IF(LEFT(H$7,2)="to",1,0),RatesTable[],IF(LEFT(H$7,2)="in",6,7),0))=0,"",VLOOKUP($B55&amp;$C55&amp;$C55+MID(H$7,4,IF(COLUMN()&gt;19,2,1))-IF(LEFT(H$7,2)="to",1,0),RatesTable[],IF(LEFT(H$7,2)="in",6,7),0)),"")</f>
        <v>0.73699999999999999</v>
      </c>
      <c r="I55" s="88"/>
      <c r="J55" s="88"/>
      <c r="K55" s="88"/>
      <c r="L55" s="88"/>
      <c r="M55" s="88"/>
      <c r="N55" s="88"/>
      <c r="O55" s="86"/>
      <c r="P55" s="86"/>
      <c r="Q55" s="87"/>
      <c r="R55" s="87"/>
      <c r="V55" s="123"/>
      <c r="W55" s="16"/>
      <c r="X55" s="139"/>
      <c r="Y55" s="16"/>
    </row>
    <row r="56" spans="1:25" ht="15" customHeight="1" x14ac:dyDescent="0.2">
      <c r="A56" s="141" t="str">
        <f t="shared" si="0"/>
        <v>0053</v>
      </c>
      <c r="B56" s="101" t="s">
        <v>55</v>
      </c>
      <c r="C56" s="102">
        <v>2012</v>
      </c>
      <c r="D56" s="60">
        <f>IFERROR(IF(LEN(VLOOKUP($B56&amp;$C56,HeadcountAndScoresTable[],IF(D$7="Count",5,IF(D$7="ACT",6,7)),0))=0,"",VLOOKUP($B56&amp;$C56,HeadcountAndScoresTable[],IF(D$7="Count",5,IF(D$7="ACT",6,7)),0)),"")</f>
        <v>28</v>
      </c>
      <c r="E56" s="98">
        <f>IFERROR(IF(LEN(VLOOKUP($B56&amp;$C56,HeadcountAndScoresTable[],IF(E$7="Count",5,IF(E$7="ACT",6,7)),0))=0,"",VLOOKUP($B56&amp;$C56,HeadcountAndScoresTable[],IF(E$7="Count",5,IF(E$7="ACT",6,7)),0)),"")</f>
        <v>21.7</v>
      </c>
      <c r="F56" s="99" t="str">
        <f>IFERROR(IF(LEN(VLOOKUP($B56&amp;$C56,HeadcountAndScoresTable[],IF(F$7="Count",5,IF(F$7="ACT",6,7)),0))=0,"",VLOOKUP($B56&amp;$C56,HeadcountAndScoresTable[],IF(F$7="Count",5,IF(F$7="ACT",6,7)),0)),"")</f>
        <v/>
      </c>
      <c r="G56" s="61">
        <f>IFERROR(IF(LEN(VLOOKUP($B56&amp;$C56&amp;$C56+MID(G$7,4,IF(COLUMN()&gt;19,2,1))-IF(LEFT(G$7,2)="to",1,0),RatesTable[],IF(LEFT(G$7,2)="in",6,7),0))=0,"",VLOOKUP($B56&amp;$C56&amp;$C56+MID(G$7,4,IF(COLUMN()&gt;19,2,1))-IF(LEFT(G$7,2)="to",1,0),RatesTable[],IF(LEFT(G$7,2)="in",6,7),0)),"")</f>
        <v>0.64300000000000002</v>
      </c>
      <c r="H56" s="71">
        <f>16/28</f>
        <v>0.5714285714285714</v>
      </c>
      <c r="I56" s="88"/>
      <c r="J56" s="88"/>
      <c r="K56" s="88"/>
      <c r="L56" s="88"/>
      <c r="M56" s="88"/>
      <c r="N56" s="88"/>
      <c r="O56" s="86"/>
      <c r="P56" s="86"/>
      <c r="Q56" s="87"/>
      <c r="R56" s="87"/>
      <c r="V56" s="123"/>
      <c r="W56" s="16"/>
      <c r="X56" s="139"/>
      <c r="Y56" s="16"/>
    </row>
    <row r="57" spans="1:25" ht="15" customHeight="1" x14ac:dyDescent="0.2">
      <c r="A57" s="141" t="str">
        <f t="shared" si="0"/>
        <v>0053</v>
      </c>
      <c r="B57" s="101" t="s">
        <v>55</v>
      </c>
      <c r="C57" s="97">
        <v>2013</v>
      </c>
      <c r="D57" s="60">
        <v>34</v>
      </c>
      <c r="E57" s="98">
        <v>21.2</v>
      </c>
      <c r="F57" s="99" t="str">
        <f>IFERROR(IF(LEN(VLOOKUP($B57&amp;$C57,HeadcountAndScoresTable[],IF(F$7="Count",5,IF(F$7="ACT",6,7)),0))=0,"",VLOOKUP($B57&amp;$C57,HeadcountAndScoresTable[],IF(F$7="Count",5,IF(F$7="ACT",6,7)),0)),"")</f>
        <v/>
      </c>
      <c r="G57" s="100">
        <f>25/34</f>
        <v>0.73529411764705888</v>
      </c>
      <c r="H57" s="88"/>
      <c r="I57" s="88"/>
      <c r="J57" s="88"/>
      <c r="K57" s="88"/>
      <c r="L57" s="88"/>
      <c r="M57" s="88"/>
      <c r="N57" s="88"/>
      <c r="O57" s="86"/>
      <c r="P57" s="86"/>
      <c r="Q57" s="87"/>
      <c r="R57" s="87"/>
      <c r="V57" s="123"/>
      <c r="W57" s="16"/>
      <c r="X57" s="139"/>
      <c r="Y57" s="16"/>
    </row>
    <row r="58" spans="1:25" ht="15" customHeight="1" x14ac:dyDescent="0.2">
      <c r="A58" s="141" t="str">
        <f t="shared" si="0"/>
        <v>0053</v>
      </c>
      <c r="B58" s="101" t="s">
        <v>59</v>
      </c>
      <c r="C58" s="102">
        <v>2004</v>
      </c>
      <c r="D58" s="60">
        <f>IFERROR(IF(LEN(VLOOKUP($B58&amp;$C58,HeadcountAndScoresTable[],IF(D$7="Count",5,IF(D$7="ACT",6,7)),0))=0,"",VLOOKUP($B58&amp;$C58,HeadcountAndScoresTable[],IF(D$7="Count",5,IF(D$7="ACT",6,7)),0)),"")</f>
        <v>7</v>
      </c>
      <c r="E58" s="98">
        <f>IFERROR(IF(LEN(VLOOKUP($B58&amp;$C58,HeadcountAndScoresTable[],IF(E$7="Count",5,IF(E$7="ACT",6,7)),0))=0,"",VLOOKUP($B58&amp;$C58,HeadcountAndScoresTable[],IF(E$7="Count",5,IF(E$7="ACT",6,7)),0)),"")</f>
        <v>20.5</v>
      </c>
      <c r="F58" s="99" t="str">
        <f>IFERROR(IF(LEN(VLOOKUP($B58&amp;$C58,HeadcountAndScoresTable[],IF(F$7="Count",5,IF(F$7="ACT",6,7)),0))=0,"",VLOOKUP($B58&amp;$C58,HeadcountAndScoresTable[],IF(F$7="Count",5,IF(F$7="ACT",6,7)),0)),"")</f>
        <v/>
      </c>
      <c r="G58" s="100">
        <f>IFERROR(IF(LEN(VLOOKUP($B58&amp;$C58&amp;$C58+MID(G$7,4,IF(COLUMN()&gt;19,2,1))-IF(LEFT(G$7,2)="to",1,0),RatesTable[],IF(LEFT(G$7,2)="in",6,7),0))=0,"",VLOOKUP($B58&amp;$C58&amp;$C58+MID(G$7,4,IF(COLUMN()&gt;19,2,1))-IF(LEFT(G$7,2)="to",1,0),RatesTable[],IF(LEFT(G$7,2)="in",6,7),0)),"")</f>
        <v>0.71399999999999997</v>
      </c>
      <c r="H58" s="71">
        <f>IFERROR(IF(LEN(VLOOKUP($B58&amp;$C58&amp;$C58+MID(H$7,4,IF(COLUMN()&gt;19,2,1))-IF(LEFT(H$7,2)="to",1,0),RatesTable[],IF(LEFT(H$7,2)="in",6,7),0))=0,"",VLOOKUP($B58&amp;$C58&amp;$C58+MID(H$7,4,IF(COLUMN()&gt;19,2,1))-IF(LEFT(H$7,2)="to",1,0),RatesTable[],IF(LEFT(H$7,2)="in",6,7),0)),"")</f>
        <v>0.71399999999999997</v>
      </c>
      <c r="I58" s="71">
        <f>IFERROR(IF(LEN(VLOOKUP($B58&amp;$C58&amp;$C58+MID(I$7,4,IF(COLUMN()&gt;19,2,1))-IF(LEFT(I$7,2)="to",1,0),RatesTable[],IF(LEFT(I$7,2)="in",6,7),0))=0,"",VLOOKUP($B58&amp;$C58&amp;$C58+MID(I$7,4,IF(COLUMN()&gt;19,2,1))-IF(LEFT(I$7,2)="to",1,0),RatesTable[],IF(LEFT(I$7,2)="in",6,7),0)),"")</f>
        <v>0</v>
      </c>
      <c r="J58" s="71">
        <f>IFERROR(IF(LEN(VLOOKUP($B58&amp;$C58&amp;$C58+MID(J$7,4,IF(COLUMN()&gt;19,2,1))-IF(LEFT(J$7,2)="to",1,0),RatesTable[],IF(LEFT(J$7,2)="in",6,7),0))=0,"",VLOOKUP($B58&amp;$C58&amp;$C58+MID(J$7,4,IF(COLUMN()&gt;19,2,1))-IF(LEFT(J$7,2)="to",1,0),RatesTable[],IF(LEFT(J$7,2)="in",6,7),0)),"")</f>
        <v>0.42899999999999999</v>
      </c>
      <c r="K58" s="71">
        <f>IFERROR(IF(LEN(VLOOKUP($B58&amp;$C58&amp;$C58+MID(K$7,4,IF(COLUMN()&gt;19,2,1))-IF(LEFT(K$7,2)="to",1,0),RatesTable[],IF(LEFT(K$7,2)="in",6,7),0))=0,"",VLOOKUP($B58&amp;$C58&amp;$C58+MID(K$7,4,IF(COLUMN()&gt;19,2,1))-IF(LEFT(K$7,2)="to",1,0),RatesTable[],IF(LEFT(K$7,2)="in",6,7),0)),"")</f>
        <v>0</v>
      </c>
      <c r="L58" s="71">
        <f>IFERROR(IF(LEN(VLOOKUP($B58&amp;$C58&amp;$C58+MID(L$7,4,IF(COLUMN()&gt;19,2,1))-IF(LEFT(L$7,2)="to",1,0),RatesTable[],IF(LEFT(L$7,2)="in",6,7),0))=0,"",VLOOKUP($B58&amp;$C58&amp;$C58+MID(L$7,4,IF(COLUMN()&gt;19,2,1))-IF(LEFT(L$7,2)="to",1,0),RatesTable[],IF(LEFT(L$7,2)="in",6,7),0)),"")</f>
        <v>0.42899999999999999</v>
      </c>
      <c r="M58" s="69">
        <f>IFERROR(IF(LEN(VLOOKUP($B58&amp;$C58&amp;$C58+MID(M$7,4,IF(COLUMN()&gt;19,2,1))-IF(LEFT(M$7,2)="to",1,0),RatesTable[],IF(LEFT(M$7,2)="in",6,7),0))=0,"",VLOOKUP($B58&amp;$C58&amp;$C58+MID(M$7,4,IF(COLUMN()&gt;19,2,1))-IF(LEFT(M$7,2)="to",1,0),RatesTable[],IF(LEFT(M$7,2)="in",6,7),0)),"")</f>
        <v>0.14299999999999999</v>
      </c>
      <c r="N58" s="69">
        <f>IFERROR(IF(LEN(VLOOKUP($B58&amp;$C58&amp;$C58+MID(N$7,4,IF(COLUMN()&gt;19,2,1))-IF(LEFT(N$7,2)="to",1,0),RatesTable[],IF(LEFT(N$7,2)="in",6,7),0))=0,"",VLOOKUP($B58&amp;$C58&amp;$C58+MID(N$7,4,IF(COLUMN()&gt;19,2,1))-IF(LEFT(N$7,2)="to",1,0),RatesTable[],IF(LEFT(N$7,2)="in",6,7),0)),"")</f>
        <v>0.28599999999999998</v>
      </c>
      <c r="O58" s="69">
        <f>IFERROR(IF(LEN(VLOOKUP($B58&amp;$C58&amp;$C58+MID(O$7,4,IF(COLUMN()&gt;19,2,1))-IF(LEFT(O$7,2)="to",1,0),RatesTable[],IF(LEFT(O$7,2)="in",6,7),0))=0,"",VLOOKUP($B58&amp;$C58&amp;$C58+MID(O$7,4,IF(COLUMN()&gt;19,2,1))-IF(LEFT(O$7,2)="to",1,0),RatesTable[],IF(LEFT(O$7,2)="in",6,7),0)),"")</f>
        <v>0.28599999999999998</v>
      </c>
      <c r="P58" s="69">
        <f>IFERROR(IF(LEN(VLOOKUP($B58&amp;$C58&amp;$C58+MID(P$7,4,IF(COLUMN()&gt;19,2,1))-IF(LEFT(P$7,2)="to",1,0),RatesTable[],IF(LEFT(P$7,2)="in",6,7),0))=0,"",VLOOKUP($B58&amp;$C58&amp;$C58+MID(P$7,4,IF(COLUMN()&gt;19,2,1))-IF(LEFT(P$7,2)="to",1,0),RatesTable[],IF(LEFT(P$7,2)="in",6,7),0)),"")</f>
        <v>0</v>
      </c>
      <c r="Q58" s="69">
        <f>IFERROR(IF(LEN(VLOOKUP($B58&amp;$C58&amp;$C58+MID(Q$7,4,IF(COLUMN()&gt;19,2,1))-IF(LEFT(Q$7,2)="to",1,0),RatesTable[],IF(LEFT(Q$7,2)="in",6,7),0))=0,"",VLOOKUP($B58&amp;$C58&amp;$C58+MID(Q$7,4,IF(COLUMN()&gt;19,2,1))-IF(LEFT(Q$7,2)="to",1,0),RatesTable[],IF(LEFT(Q$7,2)="in",6,7),0)),"")</f>
        <v>0.28599999999999998</v>
      </c>
      <c r="R58" s="69">
        <f>IFERROR(IF(LEN(VLOOKUP($B58&amp;$C58&amp;$C58+MID(R$7,4,IF(COLUMN()&gt;19,2,1))-IF(LEFT(R$7,2)="to",1,0),RatesTable[],IF(LEFT(R$7,2)="in",6,7),0))=0,"",VLOOKUP($B58&amp;$C58&amp;$C58+MID(R$7,4,IF(COLUMN()&gt;19,2,1))-IF(LEFT(R$7,2)="to",1,0),RatesTable[],IF(LEFT(R$7,2)="in",6,7),0)),"")</f>
        <v>0</v>
      </c>
      <c r="S58" s="69">
        <f>IFERROR(IF(LEN(VLOOKUP($B58&amp;$C58&amp;$C58+MID(S$7,4,IF(COLUMN()&gt;19,2,1))-IF(LEFT(S$7,2)="to",1,0),RatesTable[],IF(LEFT(S$7,2)="in",6,7),0))=0,"",VLOOKUP($B58&amp;$C58&amp;$C58+MID(S$7,4,IF(COLUMN()&gt;19,2,1))-IF(LEFT(S$7,2)="to",1,0),RatesTable[],IF(LEFT(S$7,2)="in",6,7),0)),"")</f>
        <v>0.28599999999999998</v>
      </c>
      <c r="T58" s="69">
        <f>IFERROR(IF(LEN(VLOOKUP($B58&amp;$C58&amp;$C58+MID(T$7,4,IF(COLUMN()&gt;19,2,1))-IF(LEFT(T$7,2)="to",1,0),RatesTable[],IF(LEFT(T$7,2)="in",6,7),0))=0,"",VLOOKUP($B58&amp;$C58&amp;$C58+MID(T$7,4,IF(COLUMN()&gt;19,2,1))-IF(LEFT(T$7,2)="to",1,0),RatesTable[],IF(LEFT(T$7,2)="in",6,7),0)),"")</f>
        <v>0</v>
      </c>
      <c r="U58" s="71">
        <f>2/7</f>
        <v>0.2857142857142857</v>
      </c>
      <c r="V58" s="124">
        <v>0</v>
      </c>
      <c r="W58" s="16"/>
      <c r="X58" s="139"/>
      <c r="Y58" s="16"/>
    </row>
    <row r="59" spans="1:25" ht="15" customHeight="1" x14ac:dyDescent="0.2">
      <c r="A59" s="141" t="str">
        <f t="shared" si="0"/>
        <v>0053</v>
      </c>
      <c r="B59" s="101" t="s">
        <v>59</v>
      </c>
      <c r="C59" s="102">
        <v>2005</v>
      </c>
      <c r="D59" s="60">
        <f>IFERROR(IF(LEN(VLOOKUP($B59&amp;$C59,HeadcountAndScoresTable[],IF(D$7="Count",5,IF(D$7="ACT",6,7)),0))=0,"",VLOOKUP($B59&amp;$C59,HeadcountAndScoresTable[],IF(D$7="Count",5,IF(D$7="ACT",6,7)),0)),"")</f>
        <v>10</v>
      </c>
      <c r="E59" s="98">
        <f>IFERROR(IF(LEN(VLOOKUP($B59&amp;$C59,HeadcountAndScoresTable[],IF(E$7="Count",5,IF(E$7="ACT",6,7)),0))=0,"",VLOOKUP($B59&amp;$C59,HeadcountAndScoresTable[],IF(E$7="Count",5,IF(E$7="ACT",6,7)),0)),"")</f>
        <v>19.5</v>
      </c>
      <c r="F59" s="99" t="str">
        <f>IFERROR(IF(LEN(VLOOKUP($B59&amp;$C59,HeadcountAndScoresTable[],IF(F$7="Count",5,IF(F$7="ACT",6,7)),0))=0,"",VLOOKUP($B59&amp;$C59,HeadcountAndScoresTable[],IF(F$7="Count",5,IF(F$7="ACT",6,7)),0)),"")</f>
        <v/>
      </c>
      <c r="G59" s="100">
        <f>IFERROR(IF(LEN(VLOOKUP($B59&amp;$C59&amp;$C59+MID(G$7,4,IF(COLUMN()&gt;19,2,1))-IF(LEFT(G$7,2)="to",1,0),RatesTable[],IF(LEFT(G$7,2)="in",6,7),0))=0,"",VLOOKUP($B59&amp;$C59&amp;$C59+MID(G$7,4,IF(COLUMN()&gt;19,2,1))-IF(LEFT(G$7,2)="to",1,0),RatesTable[],IF(LEFT(G$7,2)="in",6,7),0)),"")</f>
        <v>0.8</v>
      </c>
      <c r="H59" s="71">
        <f>IFERROR(IF(LEN(VLOOKUP($B59&amp;$C59&amp;$C59+MID(H$7,4,IF(COLUMN()&gt;19,2,1))-IF(LEFT(H$7,2)="to",1,0),RatesTable[],IF(LEFT(H$7,2)="in",6,7),0))=0,"",VLOOKUP($B59&amp;$C59&amp;$C59+MID(H$7,4,IF(COLUMN()&gt;19,2,1))-IF(LEFT(H$7,2)="to",1,0),RatesTable[],IF(LEFT(H$7,2)="in",6,7),0)),"")</f>
        <v>0.5</v>
      </c>
      <c r="I59" s="71">
        <f>IFERROR(IF(LEN(VLOOKUP($B59&amp;$C59&amp;$C59+MID(I$7,4,IF(COLUMN()&gt;19,2,1))-IF(LEFT(I$7,2)="to",1,0),RatesTable[],IF(LEFT(I$7,2)="in",6,7),0))=0,"",VLOOKUP($B59&amp;$C59&amp;$C59+MID(I$7,4,IF(COLUMN()&gt;19,2,1))-IF(LEFT(I$7,2)="to",1,0),RatesTable[],IF(LEFT(I$7,2)="in",6,7),0)),"")</f>
        <v>0</v>
      </c>
      <c r="J59" s="71">
        <f>IFERROR(IF(LEN(VLOOKUP($B59&amp;$C59&amp;$C59+MID(J$7,4,IF(COLUMN()&gt;19,2,1))-IF(LEFT(J$7,2)="to",1,0),RatesTable[],IF(LEFT(J$7,2)="in",6,7),0))=0,"",VLOOKUP($B59&amp;$C59&amp;$C59+MID(J$7,4,IF(COLUMN()&gt;19,2,1))-IF(LEFT(J$7,2)="to",1,0),RatesTable[],IF(LEFT(J$7,2)="in",6,7),0)),"")</f>
        <v>0.3</v>
      </c>
      <c r="K59" s="71">
        <f>IFERROR(IF(LEN(VLOOKUP($B59&amp;$C59&amp;$C59+MID(K$7,4,IF(COLUMN()&gt;19,2,1))-IF(LEFT(K$7,2)="to",1,0),RatesTable[],IF(LEFT(K$7,2)="in",6,7),0))=0,"",VLOOKUP($B59&amp;$C59&amp;$C59+MID(K$7,4,IF(COLUMN()&gt;19,2,1))-IF(LEFT(K$7,2)="to",1,0),RatesTable[],IF(LEFT(K$7,2)="in",6,7),0)),"")</f>
        <v>0.1</v>
      </c>
      <c r="L59" s="71">
        <f>IFERROR(IF(LEN(VLOOKUP($B59&amp;$C59&amp;$C59+MID(L$7,4,IF(COLUMN()&gt;19,2,1))-IF(LEFT(L$7,2)="to",1,0),RatesTable[],IF(LEFT(L$7,2)="in",6,7),0))=0,"",VLOOKUP($B59&amp;$C59&amp;$C59+MID(L$7,4,IF(COLUMN()&gt;19,2,1))-IF(LEFT(L$7,2)="to",1,0),RatesTable[],IF(LEFT(L$7,2)="in",6,7),0)),"")</f>
        <v>0</v>
      </c>
      <c r="M59" s="69">
        <f>IFERROR(IF(LEN(VLOOKUP($B59&amp;$C59&amp;$C59+MID(M$7,4,IF(COLUMN()&gt;19,2,1))-IF(LEFT(M$7,2)="to",1,0),RatesTable[],IF(LEFT(M$7,2)="in",6,7),0))=0,"",VLOOKUP($B59&amp;$C59&amp;$C59+MID(M$7,4,IF(COLUMN()&gt;19,2,1))-IF(LEFT(M$7,2)="to",1,0),RatesTable[],IF(LEFT(M$7,2)="in",6,7),0)),"")</f>
        <v>0.1</v>
      </c>
      <c r="N59" s="69">
        <f>IFERROR(IF(LEN(VLOOKUP($B59&amp;$C59&amp;$C59+MID(N$7,4,IF(COLUMN()&gt;19,2,1))-IF(LEFT(N$7,2)="to",1,0),RatesTable[],IF(LEFT(N$7,2)="in",6,7),0))=0,"",VLOOKUP($B59&amp;$C59&amp;$C59+MID(N$7,4,IF(COLUMN()&gt;19,2,1))-IF(LEFT(N$7,2)="to",1,0),RatesTable[],IF(LEFT(N$7,2)="in",6,7),0)),"")</f>
        <v>0.1</v>
      </c>
      <c r="O59" s="69">
        <f>IFERROR(IF(LEN(VLOOKUP($B59&amp;$C59&amp;$C59+MID(O$7,4,IF(COLUMN()&gt;19,2,1))-IF(LEFT(O$7,2)="to",1,0),RatesTable[],IF(LEFT(O$7,2)="in",6,7),0))=0,"",VLOOKUP($B59&amp;$C59&amp;$C59+MID(O$7,4,IF(COLUMN()&gt;19,2,1))-IF(LEFT(O$7,2)="to",1,0),RatesTable[],IF(LEFT(O$7,2)="in",6,7),0)),"")</f>
        <v>0.1</v>
      </c>
      <c r="P59" s="69">
        <f>IFERROR(IF(LEN(VLOOKUP($B59&amp;$C59&amp;$C59+MID(P$7,4,IF(COLUMN()&gt;19,2,1))-IF(LEFT(P$7,2)="to",1,0),RatesTable[],IF(LEFT(P$7,2)="in",6,7),0))=0,"",VLOOKUP($B59&amp;$C59&amp;$C59+MID(P$7,4,IF(COLUMN()&gt;19,2,1))-IF(LEFT(P$7,2)="to",1,0),RatesTable[],IF(LEFT(P$7,2)="in",6,7),0)),"")</f>
        <v>0.1</v>
      </c>
      <c r="Q59" s="64">
        <f>IFERROR(IF(LEN(VLOOKUP($B59&amp;$C59&amp;$C59+MID(Q$7,4,IF(COLUMN()&gt;19,2,1))-IF(LEFT(Q$7,2)="to",1,0),RatesTable[],IF(LEFT(Q$7,2)="in",6,7),0))=0,"",VLOOKUP($B59&amp;$C59&amp;$C59+MID(Q$7,4,IF(COLUMN()&gt;19,2,1))-IF(LEFT(Q$7,2)="to",1,0),RatesTable[],IF(LEFT(Q$7,2)="in",6,7),0)),"")</f>
        <v>0.2</v>
      </c>
      <c r="R59" s="64">
        <f>IFERROR(IF(LEN(VLOOKUP($B59&amp;$C59&amp;$C59+MID(R$7,4,IF(COLUMN()&gt;19,2,1))-IF(LEFT(R$7,2)="to",1,0),RatesTable[],IF(LEFT(R$7,2)="in",6,7),0))=0,"",VLOOKUP($B59&amp;$C59&amp;$C59+MID(R$7,4,IF(COLUMN()&gt;19,2,1))-IF(LEFT(R$7,2)="to",1,0),RatesTable[],IF(LEFT(R$7,2)="in",6,7),0)),"")</f>
        <v>0</v>
      </c>
      <c r="S59" s="71">
        <f>2/10</f>
        <v>0.2</v>
      </c>
      <c r="T59" s="71">
        <v>0</v>
      </c>
      <c r="V59" s="123"/>
      <c r="W59" s="16"/>
      <c r="X59" s="139"/>
      <c r="Y59" s="16"/>
    </row>
    <row r="60" spans="1:25" ht="15" customHeight="1" x14ac:dyDescent="0.2">
      <c r="A60" s="141" t="str">
        <f t="shared" si="0"/>
        <v>0053</v>
      </c>
      <c r="B60" s="101" t="s">
        <v>59</v>
      </c>
      <c r="C60" s="102">
        <v>2006</v>
      </c>
      <c r="D60" s="60">
        <f>IFERROR(IF(LEN(VLOOKUP($B60&amp;$C60,HeadcountAndScoresTable[],IF(D$7="Count",5,IF(D$7="ACT",6,7)),0))=0,"",VLOOKUP($B60&amp;$C60,HeadcountAndScoresTable[],IF(D$7="Count",5,IF(D$7="ACT",6,7)),0)),"")</f>
        <v>5</v>
      </c>
      <c r="E60" s="98">
        <f>IFERROR(IF(LEN(VLOOKUP($B60&amp;$C60,HeadcountAndScoresTable[],IF(E$7="Count",5,IF(E$7="ACT",6,7)),0))=0,"",VLOOKUP($B60&amp;$C60,HeadcountAndScoresTable[],IF(E$7="Count",5,IF(E$7="ACT",6,7)),0)),"")</f>
        <v>19.2</v>
      </c>
      <c r="F60" s="99" t="str">
        <f>IFERROR(IF(LEN(VLOOKUP($B60&amp;$C60,HeadcountAndScoresTable[],IF(F$7="Count",5,IF(F$7="ACT",6,7)),0))=0,"",VLOOKUP($B60&amp;$C60,HeadcountAndScoresTable[],IF(F$7="Count",5,IF(F$7="ACT",6,7)),0)),"")</f>
        <v/>
      </c>
      <c r="G60" s="100">
        <f>IFERROR(IF(LEN(VLOOKUP($B60&amp;$C60&amp;$C60+MID(G$7,4,IF(COLUMN()&gt;19,2,1))-IF(LEFT(G$7,2)="to",1,0),RatesTable[],IF(LEFT(G$7,2)="in",6,7),0))=0,"",VLOOKUP($B60&amp;$C60&amp;$C60+MID(G$7,4,IF(COLUMN()&gt;19,2,1))-IF(LEFT(G$7,2)="to",1,0),RatesTable[],IF(LEFT(G$7,2)="in",6,7),0)),"")</f>
        <v>0.6</v>
      </c>
      <c r="H60" s="71">
        <f>IFERROR(IF(LEN(VLOOKUP($B60&amp;$C60&amp;$C60+MID(H$7,4,IF(COLUMN()&gt;19,2,1))-IF(LEFT(H$7,2)="to",1,0),RatesTable[],IF(LEFT(H$7,2)="in",6,7),0))=0,"",VLOOKUP($B60&amp;$C60&amp;$C60+MID(H$7,4,IF(COLUMN()&gt;19,2,1))-IF(LEFT(H$7,2)="to",1,0),RatesTable[],IF(LEFT(H$7,2)="in",6,7),0)),"")</f>
        <v>0.6</v>
      </c>
      <c r="I60" s="71">
        <f>IFERROR(IF(LEN(VLOOKUP($B60&amp;$C60&amp;$C60+MID(I$7,4,IF(COLUMN()&gt;19,2,1))-IF(LEFT(I$7,2)="to",1,0),RatesTable[],IF(LEFT(I$7,2)="in",6,7),0))=0,"",VLOOKUP($B60&amp;$C60&amp;$C60+MID(I$7,4,IF(COLUMN()&gt;19,2,1))-IF(LEFT(I$7,2)="to",1,0),RatesTable[],IF(LEFT(I$7,2)="in",6,7),0)),"")</f>
        <v>0.2</v>
      </c>
      <c r="J60" s="71">
        <f>IFERROR(IF(LEN(VLOOKUP($B60&amp;$C60&amp;$C60+MID(J$7,4,IF(COLUMN()&gt;19,2,1))-IF(LEFT(J$7,2)="to",1,0),RatesTable[],IF(LEFT(J$7,2)="in",6,7),0))=0,"",VLOOKUP($B60&amp;$C60&amp;$C60+MID(J$7,4,IF(COLUMN()&gt;19,2,1))-IF(LEFT(J$7,2)="to",1,0),RatesTable[],IF(LEFT(J$7,2)="in",6,7),0)),"")</f>
        <v>0.2</v>
      </c>
      <c r="K60" s="71">
        <f>IFERROR(IF(LEN(VLOOKUP($B60&amp;$C60&amp;$C60+MID(K$7,4,IF(COLUMN()&gt;19,2,1))-IF(LEFT(K$7,2)="to",1,0),RatesTable[],IF(LEFT(K$7,2)="in",6,7),0))=0,"",VLOOKUP($B60&amp;$C60&amp;$C60+MID(K$7,4,IF(COLUMN()&gt;19,2,1))-IF(LEFT(K$7,2)="to",1,0),RatesTable[],IF(LEFT(K$7,2)="in",6,7),0)),"")</f>
        <v>0.4</v>
      </c>
      <c r="L60" s="71">
        <f>IFERROR(IF(LEN(VLOOKUP($B60&amp;$C60&amp;$C60+MID(L$7,4,IF(COLUMN()&gt;19,2,1))-IF(LEFT(L$7,2)="to",1,0),RatesTable[],IF(LEFT(L$7,2)="in",6,7),0))=0,"",VLOOKUP($B60&amp;$C60&amp;$C60+MID(L$7,4,IF(COLUMN()&gt;19,2,1))-IF(LEFT(L$7,2)="to",1,0),RatesTable[],IF(LEFT(L$7,2)="in",6,7),0)),"")</f>
        <v>0</v>
      </c>
      <c r="M60" s="71">
        <f>IFERROR(IF(LEN(VLOOKUP($B60&amp;$C60&amp;$C60+MID(M$7,4,IF(COLUMN()&gt;19,2,1))-IF(LEFT(M$7,2)="to",1,0),RatesTable[],IF(LEFT(M$7,2)="in",6,7),0))=0,"",VLOOKUP($B60&amp;$C60&amp;$C60+MID(M$7,4,IF(COLUMN()&gt;19,2,1))-IF(LEFT(M$7,2)="to",1,0),RatesTable[],IF(LEFT(M$7,2)="in",6,7),0)),"")</f>
        <v>0.4</v>
      </c>
      <c r="N60" s="71">
        <f>IFERROR(IF(LEN(VLOOKUP($B60&amp;$C60&amp;$C60+MID(N$7,4,IF(COLUMN()&gt;19,2,1))-IF(LEFT(N$7,2)="to",1,0),RatesTable[],IF(LEFT(N$7,2)="in",6,7),0))=0,"",VLOOKUP($B60&amp;$C60&amp;$C60+MID(N$7,4,IF(COLUMN()&gt;19,2,1))-IF(LEFT(N$7,2)="to",1,0),RatesTable[],IF(LEFT(N$7,2)="in",6,7),0)),"")</f>
        <v>0</v>
      </c>
      <c r="O60" s="69">
        <f>IFERROR(IF(LEN(VLOOKUP($B60&amp;$C60&amp;$C60+MID(O$7,4,IF(COLUMN()&gt;19,2,1))-IF(LEFT(O$7,2)="to",1,0),RatesTable[],IF(LEFT(O$7,2)="in",6,7),0))=0,"",VLOOKUP($B60&amp;$C60&amp;$C60+MID(O$7,4,IF(COLUMN()&gt;19,2,1))-IF(LEFT(O$7,2)="to",1,0),RatesTable[],IF(LEFT(O$7,2)="in",6,7),0)),"")</f>
        <v>0.4</v>
      </c>
      <c r="P60" s="69">
        <f>IFERROR(IF(LEN(VLOOKUP($B60&amp;$C60&amp;$C60+MID(P$7,4,IF(COLUMN()&gt;19,2,1))-IF(LEFT(P$7,2)="to",1,0),RatesTable[],IF(LEFT(P$7,2)="in",6,7),0))=0,"",VLOOKUP($B60&amp;$C60&amp;$C60+MID(P$7,4,IF(COLUMN()&gt;19,2,1))-IF(LEFT(P$7,2)="to",1,0),RatesTable[],IF(LEFT(P$7,2)="in",6,7),0)),"")</f>
        <v>0</v>
      </c>
      <c r="Q60" s="71">
        <f>2/5</f>
        <v>0.4</v>
      </c>
      <c r="R60" s="71">
        <v>0</v>
      </c>
      <c r="V60" s="123"/>
      <c r="W60" s="16"/>
      <c r="X60" s="139"/>
      <c r="Y60" s="16"/>
    </row>
    <row r="61" spans="1:25" ht="15" customHeight="1" x14ac:dyDescent="0.2">
      <c r="A61" s="141" t="str">
        <f t="shared" si="0"/>
        <v>0053</v>
      </c>
      <c r="B61" s="101" t="s">
        <v>59</v>
      </c>
      <c r="C61" s="102">
        <v>2007</v>
      </c>
      <c r="D61" s="60">
        <f>IFERROR(IF(LEN(VLOOKUP($B61&amp;$C61,HeadcountAndScoresTable[],IF(D$7="Count",5,IF(D$7="ACT",6,7)),0))=0,"",VLOOKUP($B61&amp;$C61,HeadcountAndScoresTable[],IF(D$7="Count",5,IF(D$7="ACT",6,7)),0)),"")</f>
        <v>6</v>
      </c>
      <c r="E61" s="98">
        <f>IFERROR(IF(LEN(VLOOKUP($B61&amp;$C61,HeadcountAndScoresTable[],IF(E$7="Count",5,IF(E$7="ACT",6,7)),0))=0,"",VLOOKUP($B61&amp;$C61,HeadcountAndScoresTable[],IF(E$7="Count",5,IF(E$7="ACT",6,7)),0)),"")</f>
        <v>20.2</v>
      </c>
      <c r="F61" s="99" t="str">
        <f>IFERROR(IF(LEN(VLOOKUP($B61&amp;$C61,HeadcountAndScoresTable[],IF(F$7="Count",5,IF(F$7="ACT",6,7)),0))=0,"",VLOOKUP($B61&amp;$C61,HeadcountAndScoresTable[],IF(F$7="Count",5,IF(F$7="ACT",6,7)),0)),"")</f>
        <v/>
      </c>
      <c r="G61" s="100">
        <f>IFERROR(IF(LEN(VLOOKUP($B61&amp;$C61&amp;$C61+MID(G$7,4,IF(COLUMN()&gt;19,2,1))-IF(LEFT(G$7,2)="to",1,0),RatesTable[],IF(LEFT(G$7,2)="in",6,7),0))=0,"",VLOOKUP($B61&amp;$C61&amp;$C61+MID(G$7,4,IF(COLUMN()&gt;19,2,1))-IF(LEFT(G$7,2)="to",1,0),RatesTable[],IF(LEFT(G$7,2)="in",6,7),0)),"")</f>
        <v>1</v>
      </c>
      <c r="H61" s="71">
        <f>IFERROR(IF(LEN(VLOOKUP($B61&amp;$C61&amp;$C61+MID(H$7,4,IF(COLUMN()&gt;19,2,1))-IF(LEFT(H$7,2)="to",1,0),RatesTable[],IF(LEFT(H$7,2)="in",6,7),0))=0,"",VLOOKUP($B61&amp;$C61&amp;$C61+MID(H$7,4,IF(COLUMN()&gt;19,2,1))-IF(LEFT(H$7,2)="to",1,0),RatesTable[],IF(LEFT(H$7,2)="in",6,7),0)),"")</f>
        <v>1</v>
      </c>
      <c r="I61" s="71">
        <f>IFERROR(IF(LEN(VLOOKUP($B61&amp;$C61&amp;$C61+MID(I$7,4,IF(COLUMN()&gt;19,2,1))-IF(LEFT(I$7,2)="to",1,0),RatesTable[],IF(LEFT(I$7,2)="in",6,7),0))=0,"",VLOOKUP($B61&amp;$C61&amp;$C61+MID(I$7,4,IF(COLUMN()&gt;19,2,1))-IF(LEFT(I$7,2)="to",1,0),RatesTable[],IF(LEFT(I$7,2)="in",6,7),0)),"")</f>
        <v>0</v>
      </c>
      <c r="J61" s="71">
        <f>IFERROR(IF(LEN(VLOOKUP($B61&amp;$C61&amp;$C61+MID(J$7,4,IF(COLUMN()&gt;19,2,1))-IF(LEFT(J$7,2)="to",1,0),RatesTable[],IF(LEFT(J$7,2)="in",6,7),0))=0,"",VLOOKUP($B61&amp;$C61&amp;$C61+MID(J$7,4,IF(COLUMN()&gt;19,2,1))-IF(LEFT(J$7,2)="to",1,0),RatesTable[],IF(LEFT(J$7,2)="in",6,7),0)),"")</f>
        <v>0.83299999999999996</v>
      </c>
      <c r="K61" s="71">
        <f>IFERROR(IF(LEN(VLOOKUP($B61&amp;$C61&amp;$C61+MID(K$7,4,IF(COLUMN()&gt;19,2,1))-IF(LEFT(K$7,2)="to",1,0),RatesTable[],IF(LEFT(K$7,2)="in",6,7),0))=0,"",VLOOKUP($B61&amp;$C61&amp;$C61+MID(K$7,4,IF(COLUMN()&gt;19,2,1))-IF(LEFT(K$7,2)="to",1,0),RatesTable[],IF(LEFT(K$7,2)="in",6,7),0)),"")</f>
        <v>0.5</v>
      </c>
      <c r="L61" s="71">
        <f>IFERROR(IF(LEN(VLOOKUP($B61&amp;$C61&amp;$C61+MID(L$7,4,IF(COLUMN()&gt;19,2,1))-IF(LEFT(L$7,2)="to",1,0),RatesTable[],IF(LEFT(L$7,2)="in",6,7),0))=0,"",VLOOKUP($B61&amp;$C61&amp;$C61+MID(L$7,4,IF(COLUMN()&gt;19,2,1))-IF(LEFT(L$7,2)="to",1,0),RatesTable[],IF(LEFT(L$7,2)="in",6,7),0)),"")</f>
        <v>0.33300000000000002</v>
      </c>
      <c r="M61" s="69">
        <f>IFERROR(IF(LEN(VLOOKUP($B61&amp;$C61&amp;$C61+MID(M$7,4,IF(COLUMN()&gt;19,2,1))-IF(LEFT(M$7,2)="to",1,0),RatesTable[],IF(LEFT(M$7,2)="in",6,7),0))=0,"",VLOOKUP($B61&amp;$C61&amp;$C61+MID(M$7,4,IF(COLUMN()&gt;19,2,1))-IF(LEFT(M$7,2)="to",1,0),RatesTable[],IF(LEFT(M$7,2)="in",6,7),0)),"")</f>
        <v>0.66700000000000004</v>
      </c>
      <c r="N61" s="69">
        <f>IFERROR(IF(LEN(VLOOKUP($B61&amp;$C61&amp;$C61+MID(N$7,4,IF(COLUMN()&gt;19,2,1))-IF(LEFT(N$7,2)="to",1,0),RatesTable[],IF(LEFT(N$7,2)="in",6,7),0))=0,"",VLOOKUP($B61&amp;$C61&amp;$C61+MID(N$7,4,IF(COLUMN()&gt;19,2,1))-IF(LEFT(N$7,2)="to",1,0),RatesTable[],IF(LEFT(N$7,2)="in",6,7),0)),"")</f>
        <v>0</v>
      </c>
      <c r="O61" s="71">
        <f>4/6</f>
        <v>0.66666666666666663</v>
      </c>
      <c r="P61" s="71">
        <f>1/6</f>
        <v>0.16666666666666666</v>
      </c>
      <c r="V61" s="123"/>
      <c r="W61" s="16"/>
      <c r="X61" s="139"/>
      <c r="Y61" s="16"/>
    </row>
    <row r="62" spans="1:25" ht="15" customHeight="1" x14ac:dyDescent="0.2">
      <c r="A62" s="141" t="str">
        <f t="shared" si="0"/>
        <v>0053</v>
      </c>
      <c r="B62" s="101" t="s">
        <v>59</v>
      </c>
      <c r="C62" s="102">
        <v>2008</v>
      </c>
      <c r="D62" s="60">
        <f>IFERROR(IF(LEN(VLOOKUP($B62&amp;$C62,HeadcountAndScoresTable[],IF(D$7="Count",5,IF(D$7="ACT",6,7)),0))=0,"",VLOOKUP($B62&amp;$C62,HeadcountAndScoresTable[],IF(D$7="Count",5,IF(D$7="ACT",6,7)),0)),"")</f>
        <v>2</v>
      </c>
      <c r="E62" s="98">
        <f>IFERROR(IF(LEN(VLOOKUP($B62&amp;$C62,HeadcountAndScoresTable[],IF(E$7="Count",5,IF(E$7="ACT",6,7)),0))=0,"",VLOOKUP($B62&amp;$C62,HeadcountAndScoresTable[],IF(E$7="Count",5,IF(E$7="ACT",6,7)),0)),"")</f>
        <v>23</v>
      </c>
      <c r="F62" s="99" t="str">
        <f>IFERROR(IF(LEN(VLOOKUP($B62&amp;$C62,HeadcountAndScoresTable[],IF(F$7="Count",5,IF(F$7="ACT",6,7)),0))=0,"",VLOOKUP($B62&amp;$C62,HeadcountAndScoresTable[],IF(F$7="Count",5,IF(F$7="ACT",6,7)),0)),"")</f>
        <v/>
      </c>
      <c r="G62" s="100">
        <f>IFERROR(IF(LEN(VLOOKUP($B62&amp;$C62&amp;$C62+MID(G$7,4,IF(COLUMN()&gt;19,2,1))-IF(LEFT(G$7,2)="to",1,0),RatesTable[],IF(LEFT(G$7,2)="in",6,7),0))=0,"",VLOOKUP($B62&amp;$C62&amp;$C62+MID(G$7,4,IF(COLUMN()&gt;19,2,1))-IF(LEFT(G$7,2)="to",1,0),RatesTable[],IF(LEFT(G$7,2)="in",6,7),0)),"")</f>
        <v>0.5</v>
      </c>
      <c r="H62" s="71">
        <f>IFERROR(IF(LEN(VLOOKUP($B62&amp;$C62&amp;$C62+MID(H$7,4,IF(COLUMN()&gt;19,2,1))-IF(LEFT(H$7,2)="to",1,0),RatesTable[],IF(LEFT(H$7,2)="in",6,7),0))=0,"",VLOOKUP($B62&amp;$C62&amp;$C62+MID(H$7,4,IF(COLUMN()&gt;19,2,1))-IF(LEFT(H$7,2)="to",1,0),RatesTable[],IF(LEFT(H$7,2)="in",6,7),0)),"")</f>
        <v>0.5</v>
      </c>
      <c r="I62" s="71">
        <f>IFERROR(IF(LEN(VLOOKUP($B62&amp;$C62&amp;$C62+MID(I$7,4,IF(COLUMN()&gt;19,2,1))-IF(LEFT(I$7,2)="to",1,0),RatesTable[],IF(LEFT(I$7,2)="in",6,7),0))=0,"",VLOOKUP($B62&amp;$C62&amp;$C62+MID(I$7,4,IF(COLUMN()&gt;19,2,1))-IF(LEFT(I$7,2)="to",1,0),RatesTable[],IF(LEFT(I$7,2)="in",6,7),0)),"")</f>
        <v>0.5</v>
      </c>
      <c r="J62" s="71">
        <f>IFERROR(IF(LEN(VLOOKUP($B62&amp;$C62&amp;$C62+MID(J$7,4,IF(COLUMN()&gt;19,2,1))-IF(LEFT(J$7,2)="to",1,0),RatesTable[],IF(LEFT(J$7,2)="in",6,7),0))=0,"",VLOOKUP($B62&amp;$C62&amp;$C62+MID(J$7,4,IF(COLUMN()&gt;19,2,1))-IF(LEFT(J$7,2)="to",1,0),RatesTable[],IF(LEFT(J$7,2)="in",6,7),0)),"")</f>
        <v>0</v>
      </c>
      <c r="K62" s="69">
        <f>IFERROR(IF(LEN(VLOOKUP($B62&amp;$C62&amp;$C62+MID(K$7,4,IF(COLUMN()&gt;19,2,1))-IF(LEFT(K$7,2)="to",1,0),RatesTable[],IF(LEFT(K$7,2)="in",6,7),0))=0,"",VLOOKUP($B62&amp;$C62&amp;$C62+MID(K$7,4,IF(COLUMN()&gt;19,2,1))-IF(LEFT(K$7,2)="to",1,0),RatesTable[],IF(LEFT(K$7,2)="in",6,7),0)),"")</f>
        <v>0.5</v>
      </c>
      <c r="L62" s="69">
        <f>IFERROR(IF(LEN(VLOOKUP($B62&amp;$C62&amp;$C62+MID(L$7,4,IF(COLUMN()&gt;19,2,1))-IF(LEFT(L$7,2)="to",1,0),RatesTable[],IF(LEFT(L$7,2)="in",6,7),0))=0,"",VLOOKUP($B62&amp;$C62&amp;$C62+MID(L$7,4,IF(COLUMN()&gt;19,2,1))-IF(LEFT(L$7,2)="to",1,0),RatesTable[],IF(LEFT(L$7,2)="in",6,7),0)),"")</f>
        <v>0</v>
      </c>
      <c r="M62" s="71">
        <f>1/2</f>
        <v>0.5</v>
      </c>
      <c r="N62" s="71">
        <v>0</v>
      </c>
      <c r="O62" s="85"/>
      <c r="P62" s="85"/>
      <c r="V62" s="123"/>
      <c r="W62" s="16"/>
      <c r="X62" s="139"/>
      <c r="Y62" s="16"/>
    </row>
    <row r="63" spans="1:25" ht="15" customHeight="1" x14ac:dyDescent="0.2">
      <c r="A63" s="141" t="str">
        <f t="shared" si="0"/>
        <v>0053</v>
      </c>
      <c r="B63" s="101" t="s">
        <v>59</v>
      </c>
      <c r="C63" s="102">
        <v>2009</v>
      </c>
      <c r="D63" s="60">
        <f>IFERROR(IF(LEN(VLOOKUP($B63&amp;$C63,HeadcountAndScoresTable[],IF(D$7="Count",5,IF(D$7="ACT",6,7)),0))=0,"",VLOOKUP($B63&amp;$C63,HeadcountAndScoresTable[],IF(D$7="Count",5,IF(D$7="ACT",6,7)),0)),"")</f>
        <v>0</v>
      </c>
      <c r="E63" s="98" t="str">
        <f>IFERROR(IF(LEN(VLOOKUP($B63&amp;$C63,HeadcountAndScoresTable[],IF(E$7="Count",5,IF(E$7="ACT",6,7)),0))=0,"",VLOOKUP($B63&amp;$C63,HeadcountAndScoresTable[],IF(E$7="Count",5,IF(E$7="ACT",6,7)),0)),"")</f>
        <v/>
      </c>
      <c r="F63" s="99" t="str">
        <f>IFERROR(IF(LEN(VLOOKUP($B63&amp;$C63,HeadcountAndScoresTable[],IF(F$7="Count",5,IF(F$7="ACT",6,7)),0))=0,"",VLOOKUP($B63&amp;$C63,HeadcountAndScoresTable[],IF(F$7="Count",5,IF(F$7="ACT",6,7)),0)),"")</f>
        <v/>
      </c>
      <c r="G63" s="100" t="str">
        <f>IFERROR(IF(LEN(VLOOKUP($B63&amp;$C63&amp;$C63+MID(G$7,4,IF(COLUMN()&gt;19,2,1))-IF(LEFT(G$7,2)="to",1,0),RatesTable[],IF(LEFT(G$7,2)="in",6,7),0))=0,"",VLOOKUP($B63&amp;$C63&amp;$C63+MID(G$7,4,IF(COLUMN()&gt;19,2,1))-IF(LEFT(G$7,2)="to",1,0),RatesTable[],IF(LEFT(G$7,2)="in",6,7),0)),"")</f>
        <v/>
      </c>
      <c r="H63" s="71" t="str">
        <f>IFERROR(IF(LEN(VLOOKUP($B63&amp;$C63&amp;$C63+MID(H$7,4,IF(COLUMN()&gt;19,2,1))-IF(LEFT(H$7,2)="to",1,0),RatesTable[],IF(LEFT(H$7,2)="in",6,7),0))=0,"",VLOOKUP($B63&amp;$C63&amp;$C63+MID(H$7,4,IF(COLUMN()&gt;19,2,1))-IF(LEFT(H$7,2)="to",1,0),RatesTable[],IF(LEFT(H$7,2)="in",6,7),0)),"")</f>
        <v/>
      </c>
      <c r="I63" s="69" t="str">
        <f>IFERROR(IF(LEN(VLOOKUP($B63&amp;$C63&amp;$C63+MID(I$7,4,IF(COLUMN()&gt;19,2,1))-IF(LEFT(I$7,2)="to",1,0),RatesTable[],IF(LEFT(I$7,2)="in",6,7),0))=0,"",VLOOKUP($B63&amp;$C63&amp;$C63+MID(I$7,4,IF(COLUMN()&gt;19,2,1))-IF(LEFT(I$7,2)="to",1,0),RatesTable[],IF(LEFT(I$7,2)="in",6,7),0)),"")</f>
        <v/>
      </c>
      <c r="J63" s="63" t="str">
        <f>IFERROR(IF(LEN(VLOOKUP($B63&amp;$C63&amp;$C63+MID(J$7,4,IF(COLUMN()&gt;19,2,1))-IF(LEFT(J$7,2)="to",1,0),RatesTable[],IF(LEFT(J$7,2)="in",6,7),0))=0,"",VLOOKUP($B63&amp;$C63&amp;$C63+MID(J$7,4,IF(COLUMN()&gt;19,2,1))-IF(LEFT(J$7,2)="to",1,0),RatesTable[],IF(LEFT(J$7,2)="in",6,7),0)),"")</f>
        <v/>
      </c>
      <c r="K63" s="71"/>
      <c r="L63" s="71"/>
      <c r="M63" s="88"/>
      <c r="N63" s="88"/>
      <c r="O63" s="86"/>
      <c r="P63" s="86"/>
      <c r="Q63" s="87"/>
      <c r="R63" s="87"/>
      <c r="V63" s="123"/>
      <c r="W63" s="16"/>
      <c r="X63" s="139"/>
      <c r="Y63" s="16"/>
    </row>
    <row r="64" spans="1:25" ht="15" customHeight="1" x14ac:dyDescent="0.2">
      <c r="A64" s="141" t="str">
        <f t="shared" si="0"/>
        <v>0053</v>
      </c>
      <c r="B64" s="101" t="s">
        <v>59</v>
      </c>
      <c r="C64" s="102">
        <v>2010</v>
      </c>
      <c r="D64" s="60">
        <f>IFERROR(IF(LEN(VLOOKUP($B64&amp;$C64,HeadcountAndScoresTable[],IF(D$7="Count",5,IF(D$7="ACT",6,7)),0))=0,"",VLOOKUP($B64&amp;$C64,HeadcountAndScoresTable[],IF(D$7="Count",5,IF(D$7="ACT",6,7)),0)),"")</f>
        <v>0</v>
      </c>
      <c r="E64" s="98" t="str">
        <f>IFERROR(IF(LEN(VLOOKUP($B64&amp;$C64,HeadcountAndScoresTable[],IF(E$7="Count",5,IF(E$7="ACT",6,7)),0))=0,"",VLOOKUP($B64&amp;$C64,HeadcountAndScoresTable[],IF(E$7="Count",5,IF(E$7="ACT",6,7)),0)),"")</f>
        <v/>
      </c>
      <c r="F64" s="99" t="str">
        <f>IFERROR(IF(LEN(VLOOKUP($B64&amp;$C64,HeadcountAndScoresTable[],IF(F$7="Count",5,IF(F$7="ACT",6,7)),0))=0,"",VLOOKUP($B64&amp;$C64,HeadcountAndScoresTable[],IF(F$7="Count",5,IF(F$7="ACT",6,7)),0)),"")</f>
        <v/>
      </c>
      <c r="G64" s="61" t="str">
        <f>IFERROR(IF(LEN(VLOOKUP($B64&amp;$C64&amp;$C64+MID(G$7,4,IF(COLUMN()&gt;19,2,1))-IF(LEFT(G$7,2)="to",1,0),RatesTable[],IF(LEFT(G$7,2)="in",6,7),0))=0,"",VLOOKUP($B64&amp;$C64&amp;$C64+MID(G$7,4,IF(COLUMN()&gt;19,2,1))-IF(LEFT(G$7,2)="to",1,0),RatesTable[],IF(LEFT(G$7,2)="in",6,7),0)),"")</f>
        <v/>
      </c>
      <c r="H64" s="70" t="str">
        <f>IFERROR(IF(LEN(VLOOKUP($B64&amp;$C64&amp;$C64+MID(H$7,4,IF(COLUMN()&gt;19,2,1))-IF(LEFT(H$7,2)="to",1,0),RatesTable[],IF(LEFT(H$7,2)="in",6,7),0))=0,"",VLOOKUP($B64&amp;$C64&amp;$C64+MID(H$7,4,IF(COLUMN()&gt;19,2,1))-IF(LEFT(H$7,2)="to",1,0),RatesTable[],IF(LEFT(H$7,2)="in",6,7),0)),"")</f>
        <v/>
      </c>
      <c r="I64" s="71" t="str">
        <f>IFERROR(IF(LEN(VLOOKUP($B64&amp;$C64&amp;$C64+MID(I$7,4,IF(COLUMN()&gt;19,2,1))-IF(LEFT(I$7,2)="to",1,0),RatesTable[],IF(LEFT(I$7,2)="in",6,7),0))=0,"",VLOOKUP($B64&amp;$C64&amp;$C64+MID(I$7,4,IF(COLUMN()&gt;19,2,1))-IF(LEFT(I$7,2)="to",1,0),RatesTable[],IF(LEFT(I$7,2)="in",6,7),0)),"")</f>
        <v/>
      </c>
      <c r="J64" s="71" t="str">
        <f>IFERROR(IF(LEN(VLOOKUP($B64&amp;$C64&amp;$C64+MID(J$7,4,IF(COLUMN()&gt;19,2,1))-IF(LEFT(J$7,2)="to",1,0),RatesTable[],IF(LEFT(J$7,2)="in",6,7),0))=0,"",VLOOKUP($B64&amp;$C64&amp;$C64+MID(J$7,4,IF(COLUMN()&gt;19,2,1))-IF(LEFT(J$7,2)="to",1,0),RatesTable[],IF(LEFT(J$7,2)="in",6,7),0)),"")</f>
        <v/>
      </c>
      <c r="K64" s="88"/>
      <c r="L64" s="88"/>
      <c r="M64" s="88"/>
      <c r="N64" s="88"/>
      <c r="O64" s="86"/>
      <c r="P64" s="86"/>
      <c r="Q64" s="87"/>
      <c r="R64" s="87"/>
      <c r="V64" s="123"/>
      <c r="W64" s="16"/>
      <c r="X64" s="139"/>
      <c r="Y64" s="16"/>
    </row>
    <row r="65" spans="1:25" ht="15" customHeight="1" x14ac:dyDescent="0.2">
      <c r="A65" s="141" t="str">
        <f t="shared" si="0"/>
        <v>0053</v>
      </c>
      <c r="B65" s="101" t="s">
        <v>59</v>
      </c>
      <c r="C65" s="102">
        <v>2011</v>
      </c>
      <c r="D65" s="60">
        <f>IFERROR(IF(LEN(VLOOKUP($B65&amp;$C65,HeadcountAndScoresTable[],IF(D$7="Count",5,IF(D$7="ACT",6,7)),0))=0,"",VLOOKUP($B65&amp;$C65,HeadcountAndScoresTable[],IF(D$7="Count",5,IF(D$7="ACT",6,7)),0)),"")</f>
        <v>2</v>
      </c>
      <c r="E65" s="98">
        <f>IFERROR(IF(LEN(VLOOKUP($B65&amp;$C65,HeadcountAndScoresTable[],IF(E$7="Count",5,IF(E$7="ACT",6,7)),0))=0,"",VLOOKUP($B65&amp;$C65,HeadcountAndScoresTable[],IF(E$7="Count",5,IF(E$7="ACT",6,7)),0)),"")</f>
        <v>17</v>
      </c>
      <c r="F65" s="99" t="str">
        <f>IFERROR(IF(LEN(VLOOKUP($B65&amp;$C65,HeadcountAndScoresTable[],IF(F$7="Count",5,IF(F$7="ACT",6,7)),0))=0,"",VLOOKUP($B65&amp;$C65,HeadcountAndScoresTable[],IF(F$7="Count",5,IF(F$7="ACT",6,7)),0)),"")</f>
        <v/>
      </c>
      <c r="G65" s="61">
        <f>IFERROR(IF(LEN(VLOOKUP($B65&amp;$C65&amp;$C65+MID(G$7,4,IF(COLUMN()&gt;19,2,1))-IF(LEFT(G$7,2)="to",1,0),RatesTable[],IF(LEFT(G$7,2)="in",6,7),0))=0,"",VLOOKUP($B65&amp;$C65&amp;$C65+MID(G$7,4,IF(COLUMN()&gt;19,2,1))-IF(LEFT(G$7,2)="to",1,0),RatesTable[],IF(LEFT(G$7,2)="in",6,7),0)),"")</f>
        <v>0.5</v>
      </c>
      <c r="H65" s="71">
        <f>IFERROR(IF(LEN(VLOOKUP($B65&amp;$C65&amp;$C65+MID(H$7,4,IF(COLUMN()&gt;19,2,1))-IF(LEFT(H$7,2)="to",1,0),RatesTable[],IF(LEFT(H$7,2)="in",6,7),0))=0,"",VLOOKUP($B65&amp;$C65&amp;$C65+MID(H$7,4,IF(COLUMN()&gt;19,2,1))-IF(LEFT(H$7,2)="to",1,0),RatesTable[],IF(LEFT(H$7,2)="in",6,7),0)),"")</f>
        <v>0</v>
      </c>
      <c r="I65" s="88"/>
      <c r="J65" s="88"/>
      <c r="K65" s="88"/>
      <c r="L65" s="88"/>
      <c r="M65" s="88"/>
      <c r="N65" s="88"/>
      <c r="O65" s="86"/>
      <c r="P65" s="86"/>
      <c r="Q65" s="87"/>
      <c r="R65" s="87"/>
      <c r="V65" s="123"/>
      <c r="W65" s="16"/>
      <c r="X65" s="139"/>
      <c r="Y65" s="16"/>
    </row>
    <row r="66" spans="1:25" ht="15" customHeight="1" x14ac:dyDescent="0.2">
      <c r="A66" s="141" t="str">
        <f t="shared" si="0"/>
        <v>0053</v>
      </c>
      <c r="B66" s="101" t="s">
        <v>59</v>
      </c>
      <c r="C66" s="102">
        <v>2012</v>
      </c>
      <c r="D66" s="60">
        <f>IFERROR(IF(LEN(VLOOKUP($B66&amp;$C66,HeadcountAndScoresTable[],IF(D$7="Count",5,IF(D$7="ACT",6,7)),0))=0,"",VLOOKUP($B66&amp;$C66,HeadcountAndScoresTable[],IF(D$7="Count",5,IF(D$7="ACT",6,7)),0)),"")</f>
        <v>3</v>
      </c>
      <c r="E66" s="98">
        <f>IFERROR(IF(LEN(VLOOKUP($B66&amp;$C66,HeadcountAndScoresTable[],IF(E$7="Count",5,IF(E$7="ACT",6,7)),0))=0,"",VLOOKUP($B66&amp;$C66,HeadcountAndScoresTable[],IF(E$7="Count",5,IF(E$7="ACT",6,7)),0)),"")</f>
        <v>25.3</v>
      </c>
      <c r="F66" s="99" t="str">
        <f>IFERROR(IF(LEN(VLOOKUP($B66&amp;$C66,HeadcountAndScoresTable[],IF(F$7="Count",5,IF(F$7="ACT",6,7)),0))=0,"",VLOOKUP($B66&amp;$C66,HeadcountAndScoresTable[],IF(F$7="Count",5,IF(F$7="ACT",6,7)),0)),"")</f>
        <v/>
      </c>
      <c r="G66" s="61">
        <f>IFERROR(IF(LEN(VLOOKUP($B66&amp;$C66&amp;$C66+MID(G$7,4,IF(COLUMN()&gt;19,2,1))-IF(LEFT(G$7,2)="to",1,0),RatesTable[],IF(LEFT(G$7,2)="in",6,7),0))=0,"",VLOOKUP($B66&amp;$C66&amp;$C66+MID(G$7,4,IF(COLUMN()&gt;19,2,1))-IF(LEFT(G$7,2)="to",1,0),RatesTable[],IF(LEFT(G$7,2)="in",6,7),0)),"")</f>
        <v>0.66700000000000004</v>
      </c>
      <c r="H66" s="71">
        <f>1/3</f>
        <v>0.33333333333333331</v>
      </c>
      <c r="I66" s="88"/>
      <c r="J66" s="88"/>
      <c r="K66" s="88"/>
      <c r="L66" s="88"/>
      <c r="M66" s="88"/>
      <c r="N66" s="88"/>
      <c r="O66" s="86"/>
      <c r="P66" s="86"/>
      <c r="Q66" s="87"/>
      <c r="R66" s="87"/>
      <c r="V66" s="123"/>
      <c r="W66" s="16"/>
      <c r="X66" s="139"/>
      <c r="Y66" s="16"/>
    </row>
    <row r="67" spans="1:25" ht="15" customHeight="1" x14ac:dyDescent="0.2">
      <c r="A67" s="141" t="str">
        <f t="shared" si="0"/>
        <v>0053</v>
      </c>
      <c r="B67" s="101" t="s">
        <v>59</v>
      </c>
      <c r="C67" s="97">
        <v>2013</v>
      </c>
      <c r="D67" s="60">
        <v>7</v>
      </c>
      <c r="E67" s="98">
        <v>21</v>
      </c>
      <c r="F67" s="99" t="str">
        <f>IFERROR(IF(LEN(VLOOKUP($B67&amp;$C67,HeadcountAndScoresTable[],IF(F$7="Count",5,IF(F$7="ACT",6,7)),0))=0,"",VLOOKUP($B67&amp;$C67,HeadcountAndScoresTable[],IF(F$7="Count",5,IF(F$7="ACT",6,7)),0)),"")</f>
        <v/>
      </c>
      <c r="G67" s="100">
        <f>5/7</f>
        <v>0.7142857142857143</v>
      </c>
      <c r="H67" s="88"/>
      <c r="I67" s="88"/>
      <c r="J67" s="88"/>
      <c r="K67" s="88"/>
      <c r="L67" s="88"/>
      <c r="M67" s="88"/>
      <c r="N67" s="88"/>
      <c r="O67" s="86"/>
      <c r="P67" s="86"/>
      <c r="Q67" s="87"/>
      <c r="R67" s="87"/>
      <c r="V67" s="123"/>
      <c r="W67" s="16"/>
      <c r="X67" s="139"/>
      <c r="Y67" s="16"/>
    </row>
    <row r="68" spans="1:25" ht="15" customHeight="1" x14ac:dyDescent="0.2">
      <c r="A68" s="141" t="str">
        <f t="shared" si="0"/>
        <v>0053</v>
      </c>
      <c r="B68" s="101" t="s">
        <v>56</v>
      </c>
      <c r="C68" s="102">
        <v>2004</v>
      </c>
      <c r="D68" s="60">
        <f>IFERROR(IF(LEN(VLOOKUP($B68&amp;$C68,HeadcountAndScoresTable[],IF(D$7="Count",5,IF(D$7="ACT",6,7)),0))=0,"",VLOOKUP($B68&amp;$C68,HeadcountAndScoresTable[],IF(D$7="Count",5,IF(D$7="ACT",6,7)),0)),"")</f>
        <v>15</v>
      </c>
      <c r="E68" s="98">
        <f>IFERROR(IF(LEN(VLOOKUP($B68&amp;$C68,HeadcountAndScoresTable[],IF(E$7="Count",5,IF(E$7="ACT",6,7)),0))=0,"",VLOOKUP($B68&amp;$C68,HeadcountAndScoresTable[],IF(E$7="Count",5,IF(E$7="ACT",6,7)),0)),"")</f>
        <v>21.5</v>
      </c>
      <c r="F68" s="99" t="str">
        <f>IFERROR(IF(LEN(VLOOKUP($B68&amp;$C68,HeadcountAndScoresTable[],IF(F$7="Count",5,IF(F$7="ACT",6,7)),0))=0,"",VLOOKUP($B68&amp;$C68,HeadcountAndScoresTable[],IF(F$7="Count",5,IF(F$7="ACT",6,7)),0)),"")</f>
        <v/>
      </c>
      <c r="G68" s="100">
        <f>IFERROR(IF(LEN(VLOOKUP($B68&amp;$C68&amp;$C68+MID(G$7,4,IF(COLUMN()&gt;19,2,1))-IF(LEFT(G$7,2)="to",1,0),RatesTable[],IF(LEFT(G$7,2)="in",6,7),0))=0,"",VLOOKUP($B68&amp;$C68&amp;$C68+MID(G$7,4,IF(COLUMN()&gt;19,2,1))-IF(LEFT(G$7,2)="to",1,0),RatesTable[],IF(LEFT(G$7,2)="in",6,7),0)),"")</f>
        <v>0.46700000000000003</v>
      </c>
      <c r="H68" s="71">
        <f>IFERROR(IF(LEN(VLOOKUP($B68&amp;$C68&amp;$C68+MID(H$7,4,IF(COLUMN()&gt;19,2,1))-IF(LEFT(H$7,2)="to",1,0),RatesTable[],IF(LEFT(H$7,2)="in",6,7),0))=0,"",VLOOKUP($B68&amp;$C68&amp;$C68+MID(H$7,4,IF(COLUMN()&gt;19,2,1))-IF(LEFT(H$7,2)="to",1,0),RatesTable[],IF(LEFT(H$7,2)="in",6,7),0)),"")</f>
        <v>0.46700000000000003</v>
      </c>
      <c r="I68" s="71">
        <f>IFERROR(IF(LEN(VLOOKUP($B68&amp;$C68&amp;$C68+MID(I$7,4,IF(COLUMN()&gt;19,2,1))-IF(LEFT(I$7,2)="to",1,0),RatesTable[],IF(LEFT(I$7,2)="in",6,7),0))=0,"",VLOOKUP($B68&amp;$C68&amp;$C68+MID(I$7,4,IF(COLUMN()&gt;19,2,1))-IF(LEFT(I$7,2)="to",1,0),RatesTable[],IF(LEFT(I$7,2)="in",6,7),0)),"")</f>
        <v>0.2</v>
      </c>
      <c r="J68" s="71">
        <f>IFERROR(IF(LEN(VLOOKUP($B68&amp;$C68&amp;$C68+MID(J$7,4,IF(COLUMN()&gt;19,2,1))-IF(LEFT(J$7,2)="to",1,0),RatesTable[],IF(LEFT(J$7,2)="in",6,7),0))=0,"",VLOOKUP($B68&amp;$C68&amp;$C68+MID(J$7,4,IF(COLUMN()&gt;19,2,1))-IF(LEFT(J$7,2)="to",1,0),RatesTable[],IF(LEFT(J$7,2)="in",6,7),0)),"")</f>
        <v>0.13300000000000001</v>
      </c>
      <c r="K68" s="71">
        <f>IFERROR(IF(LEN(VLOOKUP($B68&amp;$C68&amp;$C68+MID(K$7,4,IF(COLUMN()&gt;19,2,1))-IF(LEFT(K$7,2)="to",1,0),RatesTable[],IF(LEFT(K$7,2)="in",6,7),0))=0,"",VLOOKUP($B68&amp;$C68&amp;$C68+MID(K$7,4,IF(COLUMN()&gt;19,2,1))-IF(LEFT(K$7,2)="to",1,0),RatesTable[],IF(LEFT(K$7,2)="in",6,7),0)),"")</f>
        <v>0.2</v>
      </c>
      <c r="L68" s="71">
        <f>IFERROR(IF(LEN(VLOOKUP($B68&amp;$C68&amp;$C68+MID(L$7,4,IF(COLUMN()&gt;19,2,1))-IF(LEFT(L$7,2)="to",1,0),RatesTable[],IF(LEFT(L$7,2)="in",6,7),0))=0,"",VLOOKUP($B68&amp;$C68&amp;$C68+MID(L$7,4,IF(COLUMN()&gt;19,2,1))-IF(LEFT(L$7,2)="to",1,0),RatesTable[],IF(LEFT(L$7,2)="in",6,7),0)),"")</f>
        <v>6.7000000000000004E-2</v>
      </c>
      <c r="M68" s="69">
        <f>IFERROR(IF(LEN(VLOOKUP($B68&amp;$C68&amp;$C68+MID(M$7,4,IF(COLUMN()&gt;19,2,1))-IF(LEFT(M$7,2)="to",1,0),RatesTable[],IF(LEFT(M$7,2)="in",6,7),0))=0,"",VLOOKUP($B68&amp;$C68&amp;$C68+MID(M$7,4,IF(COLUMN()&gt;19,2,1))-IF(LEFT(M$7,2)="to",1,0),RatesTable[],IF(LEFT(M$7,2)="in",6,7),0)),"")</f>
        <v>0.2</v>
      </c>
      <c r="N68" s="69">
        <f>IFERROR(IF(LEN(VLOOKUP($B68&amp;$C68&amp;$C68+MID(N$7,4,IF(COLUMN()&gt;19,2,1))-IF(LEFT(N$7,2)="to",1,0),RatesTable[],IF(LEFT(N$7,2)="in",6,7),0))=0,"",VLOOKUP($B68&amp;$C68&amp;$C68+MID(N$7,4,IF(COLUMN()&gt;19,2,1))-IF(LEFT(N$7,2)="to",1,0),RatesTable[],IF(LEFT(N$7,2)="in",6,7),0)),"")</f>
        <v>6.7000000000000004E-2</v>
      </c>
      <c r="O68" s="69">
        <f>IFERROR(IF(LEN(VLOOKUP($B68&amp;$C68&amp;$C68+MID(O$7,4,IF(COLUMN()&gt;19,2,1))-IF(LEFT(O$7,2)="to",1,0),RatesTable[],IF(LEFT(O$7,2)="in",6,7),0))=0,"",VLOOKUP($B68&amp;$C68&amp;$C68+MID(O$7,4,IF(COLUMN()&gt;19,2,1))-IF(LEFT(O$7,2)="to",1,0),RatesTable[],IF(LEFT(O$7,2)="in",6,7),0)),"")</f>
        <v>0.2</v>
      </c>
      <c r="P68" s="69">
        <f>IFERROR(IF(LEN(VLOOKUP($B68&amp;$C68&amp;$C68+MID(P$7,4,IF(COLUMN()&gt;19,2,1))-IF(LEFT(P$7,2)="to",1,0),RatesTable[],IF(LEFT(P$7,2)="in",6,7),0))=0,"",VLOOKUP($B68&amp;$C68&amp;$C68+MID(P$7,4,IF(COLUMN()&gt;19,2,1))-IF(LEFT(P$7,2)="to",1,0),RatesTable[],IF(LEFT(P$7,2)="in",6,7),0)),"")</f>
        <v>0</v>
      </c>
      <c r="Q68" s="69">
        <f>IFERROR(IF(LEN(VLOOKUP($B68&amp;$C68&amp;$C68+MID(Q$7,4,IF(COLUMN()&gt;19,2,1))-IF(LEFT(Q$7,2)="to",1,0),RatesTable[],IF(LEFT(Q$7,2)="in",6,7),0))=0,"",VLOOKUP($B68&amp;$C68&amp;$C68+MID(Q$7,4,IF(COLUMN()&gt;19,2,1))-IF(LEFT(Q$7,2)="to",1,0),RatesTable[],IF(LEFT(Q$7,2)="in",6,7),0)),"")</f>
        <v>0.2</v>
      </c>
      <c r="R68" s="69">
        <f>IFERROR(IF(LEN(VLOOKUP($B68&amp;$C68&amp;$C68+MID(R$7,4,IF(COLUMN()&gt;19,2,1))-IF(LEFT(R$7,2)="to",1,0),RatesTable[],IF(LEFT(R$7,2)="in",6,7),0))=0,"",VLOOKUP($B68&amp;$C68&amp;$C68+MID(R$7,4,IF(COLUMN()&gt;19,2,1))-IF(LEFT(R$7,2)="to",1,0),RatesTable[],IF(LEFT(R$7,2)="in",6,7),0)),"")</f>
        <v>0</v>
      </c>
      <c r="S68" s="69">
        <f>IFERROR(IF(LEN(VLOOKUP($B68&amp;$C68&amp;$C68+MID(S$7,4,IF(COLUMN()&gt;19,2,1))-IF(LEFT(S$7,2)="to",1,0),RatesTable[],IF(LEFT(S$7,2)="in",6,7),0))=0,"",VLOOKUP($B68&amp;$C68&amp;$C68+MID(S$7,4,IF(COLUMN()&gt;19,2,1))-IF(LEFT(S$7,2)="to",1,0),RatesTable[],IF(LEFT(S$7,2)="in",6,7),0)),"")</f>
        <v>0.2</v>
      </c>
      <c r="T68" s="69">
        <f>IFERROR(IF(LEN(VLOOKUP($B68&amp;$C68&amp;$C68+MID(T$7,4,IF(COLUMN()&gt;19,2,1))-IF(LEFT(T$7,2)="to",1,0),RatesTable[],IF(LEFT(T$7,2)="in",6,7),0))=0,"",VLOOKUP($B68&amp;$C68&amp;$C68+MID(T$7,4,IF(COLUMN()&gt;19,2,1))-IF(LEFT(T$7,2)="to",1,0),RatesTable[],IF(LEFT(T$7,2)="in",6,7),0)),"")</f>
        <v>0</v>
      </c>
      <c r="U68" s="71">
        <f>3/15</f>
        <v>0.2</v>
      </c>
      <c r="V68" s="124">
        <v>0</v>
      </c>
      <c r="W68" s="16"/>
      <c r="X68" s="139"/>
      <c r="Y68" s="16"/>
    </row>
    <row r="69" spans="1:25" ht="15" customHeight="1" x14ac:dyDescent="0.2">
      <c r="A69" s="141" t="str">
        <f t="shared" si="0"/>
        <v>0053</v>
      </c>
      <c r="B69" s="101" t="s">
        <v>56</v>
      </c>
      <c r="C69" s="102">
        <v>2005</v>
      </c>
      <c r="D69" s="60">
        <f>IFERROR(IF(LEN(VLOOKUP($B69&amp;$C69,HeadcountAndScoresTable[],IF(D$7="Count",5,IF(D$7="ACT",6,7)),0))=0,"",VLOOKUP($B69&amp;$C69,HeadcountAndScoresTable[],IF(D$7="Count",5,IF(D$7="ACT",6,7)),0)),"")</f>
        <v>17</v>
      </c>
      <c r="E69" s="98">
        <f>IFERROR(IF(LEN(VLOOKUP($B69&amp;$C69,HeadcountAndScoresTable[],IF(E$7="Count",5,IF(E$7="ACT",6,7)),0))=0,"",VLOOKUP($B69&amp;$C69,HeadcountAndScoresTable[],IF(E$7="Count",5,IF(E$7="ACT",6,7)),0)),"")</f>
        <v>20.399999999999999</v>
      </c>
      <c r="F69" s="99" t="str">
        <f>IFERROR(IF(LEN(VLOOKUP($B69&amp;$C69,HeadcountAndScoresTable[],IF(F$7="Count",5,IF(F$7="ACT",6,7)),0))=0,"",VLOOKUP($B69&amp;$C69,HeadcountAndScoresTable[],IF(F$7="Count",5,IF(F$7="ACT",6,7)),0)),"")</f>
        <v/>
      </c>
      <c r="G69" s="100">
        <f>IFERROR(IF(LEN(VLOOKUP($B69&amp;$C69&amp;$C69+MID(G$7,4,IF(COLUMN()&gt;19,2,1))-IF(LEFT(G$7,2)="to",1,0),RatesTable[],IF(LEFT(G$7,2)="in",6,7),0))=0,"",VLOOKUP($B69&amp;$C69&amp;$C69+MID(G$7,4,IF(COLUMN()&gt;19,2,1))-IF(LEFT(G$7,2)="to",1,0),RatesTable[],IF(LEFT(G$7,2)="in",6,7),0)),"")</f>
        <v>0.76500000000000001</v>
      </c>
      <c r="H69" s="71">
        <f>IFERROR(IF(LEN(VLOOKUP($B69&amp;$C69&amp;$C69+MID(H$7,4,IF(COLUMN()&gt;19,2,1))-IF(LEFT(H$7,2)="to",1,0),RatesTable[],IF(LEFT(H$7,2)="in",6,7),0))=0,"",VLOOKUP($B69&amp;$C69&amp;$C69+MID(H$7,4,IF(COLUMN()&gt;19,2,1))-IF(LEFT(H$7,2)="to",1,0),RatesTable[],IF(LEFT(H$7,2)="in",6,7),0)),"")</f>
        <v>0.70599999999999996</v>
      </c>
      <c r="I69" s="71">
        <f>IFERROR(IF(LEN(VLOOKUP($B69&amp;$C69&amp;$C69+MID(I$7,4,IF(COLUMN()&gt;19,2,1))-IF(LEFT(I$7,2)="to",1,0),RatesTable[],IF(LEFT(I$7,2)="in",6,7),0))=0,"",VLOOKUP($B69&amp;$C69&amp;$C69+MID(I$7,4,IF(COLUMN()&gt;19,2,1))-IF(LEFT(I$7,2)="to",1,0),RatesTable[],IF(LEFT(I$7,2)="in",6,7),0)),"")</f>
        <v>0.17599999999999999</v>
      </c>
      <c r="J69" s="71">
        <f>IFERROR(IF(LEN(VLOOKUP($B69&amp;$C69&amp;$C69+MID(J$7,4,IF(COLUMN()&gt;19,2,1))-IF(LEFT(J$7,2)="to",1,0),RatesTable[],IF(LEFT(J$7,2)="in",6,7),0))=0,"",VLOOKUP($B69&amp;$C69&amp;$C69+MID(J$7,4,IF(COLUMN()&gt;19,2,1))-IF(LEFT(J$7,2)="to",1,0),RatesTable[],IF(LEFT(J$7,2)="in",6,7),0)),"")</f>
        <v>0.41199999999999998</v>
      </c>
      <c r="K69" s="71">
        <f>IFERROR(IF(LEN(VLOOKUP($B69&amp;$C69&amp;$C69+MID(K$7,4,IF(COLUMN()&gt;19,2,1))-IF(LEFT(K$7,2)="to",1,0),RatesTable[],IF(LEFT(K$7,2)="in",6,7),0))=0,"",VLOOKUP($B69&amp;$C69&amp;$C69+MID(K$7,4,IF(COLUMN()&gt;19,2,1))-IF(LEFT(K$7,2)="to",1,0),RatesTable[],IF(LEFT(K$7,2)="in",6,7),0)),"")</f>
        <v>0.35299999999999998</v>
      </c>
      <c r="L69" s="71">
        <f>IFERROR(IF(LEN(VLOOKUP($B69&amp;$C69&amp;$C69+MID(L$7,4,IF(COLUMN()&gt;19,2,1))-IF(LEFT(L$7,2)="to",1,0),RatesTable[],IF(LEFT(L$7,2)="in",6,7),0))=0,"",VLOOKUP($B69&amp;$C69&amp;$C69+MID(L$7,4,IF(COLUMN()&gt;19,2,1))-IF(LEFT(L$7,2)="to",1,0),RatesTable[],IF(LEFT(L$7,2)="in",6,7),0)),"")</f>
        <v>0.17599999999999999</v>
      </c>
      <c r="M69" s="69">
        <f>IFERROR(IF(LEN(VLOOKUP($B69&amp;$C69&amp;$C69+MID(M$7,4,IF(COLUMN()&gt;19,2,1))-IF(LEFT(M$7,2)="to",1,0),RatesTable[],IF(LEFT(M$7,2)="in",6,7),0))=0,"",VLOOKUP($B69&amp;$C69&amp;$C69+MID(M$7,4,IF(COLUMN()&gt;19,2,1))-IF(LEFT(M$7,2)="to",1,0),RatesTable[],IF(LEFT(M$7,2)="in",6,7),0)),"")</f>
        <v>0.47099999999999997</v>
      </c>
      <c r="N69" s="69">
        <f>IFERROR(IF(LEN(VLOOKUP($B69&amp;$C69&amp;$C69+MID(N$7,4,IF(COLUMN()&gt;19,2,1))-IF(LEFT(N$7,2)="to",1,0),RatesTable[],IF(LEFT(N$7,2)="in",6,7),0))=0,"",VLOOKUP($B69&amp;$C69&amp;$C69+MID(N$7,4,IF(COLUMN()&gt;19,2,1))-IF(LEFT(N$7,2)="to",1,0),RatesTable[],IF(LEFT(N$7,2)="in",6,7),0)),"")</f>
        <v>0.11799999999999999</v>
      </c>
      <c r="O69" s="69">
        <f>IFERROR(IF(LEN(VLOOKUP($B69&amp;$C69&amp;$C69+MID(O$7,4,IF(COLUMN()&gt;19,2,1))-IF(LEFT(O$7,2)="to",1,0),RatesTable[],IF(LEFT(O$7,2)="in",6,7),0))=0,"",VLOOKUP($B69&amp;$C69&amp;$C69+MID(O$7,4,IF(COLUMN()&gt;19,2,1))-IF(LEFT(O$7,2)="to",1,0),RatesTable[],IF(LEFT(O$7,2)="in",6,7),0)),"")</f>
        <v>0.52900000000000003</v>
      </c>
      <c r="P69" s="69">
        <f>IFERROR(IF(LEN(VLOOKUP($B69&amp;$C69&amp;$C69+MID(P$7,4,IF(COLUMN()&gt;19,2,1))-IF(LEFT(P$7,2)="to",1,0),RatesTable[],IF(LEFT(P$7,2)="in",6,7),0))=0,"",VLOOKUP($B69&amp;$C69&amp;$C69+MID(P$7,4,IF(COLUMN()&gt;19,2,1))-IF(LEFT(P$7,2)="to",1,0),RatesTable[],IF(LEFT(P$7,2)="in",6,7),0)),"")</f>
        <v>5.8999999999999997E-2</v>
      </c>
      <c r="Q69" s="64">
        <f>IFERROR(IF(LEN(VLOOKUP($B69&amp;$C69&amp;$C69+MID(Q$7,4,IF(COLUMN()&gt;19,2,1))-IF(LEFT(Q$7,2)="to",1,0),RatesTable[],IF(LEFT(Q$7,2)="in",6,7),0))=0,"",VLOOKUP($B69&amp;$C69&amp;$C69+MID(Q$7,4,IF(COLUMN()&gt;19,2,1))-IF(LEFT(Q$7,2)="to",1,0),RatesTable[],IF(LEFT(Q$7,2)="in",6,7),0)),"")</f>
        <v>0.64700000000000002</v>
      </c>
      <c r="R69" s="64">
        <f>IFERROR(IF(LEN(VLOOKUP($B69&amp;$C69&amp;$C69+MID(R$7,4,IF(COLUMN()&gt;19,2,1))-IF(LEFT(R$7,2)="to",1,0),RatesTable[],IF(LEFT(R$7,2)="in",6,7),0))=0,"",VLOOKUP($B69&amp;$C69&amp;$C69+MID(R$7,4,IF(COLUMN()&gt;19,2,1))-IF(LEFT(R$7,2)="to",1,0),RatesTable[],IF(LEFT(R$7,2)="in",6,7),0)),"")</f>
        <v>0</v>
      </c>
      <c r="S69" s="71">
        <f>11/17</f>
        <v>0.6470588235294118</v>
      </c>
      <c r="T69" s="71">
        <v>0</v>
      </c>
      <c r="V69" s="123"/>
      <c r="W69" s="16"/>
      <c r="X69" s="139"/>
      <c r="Y69" s="16"/>
    </row>
    <row r="70" spans="1:25" ht="15" customHeight="1" x14ac:dyDescent="0.2">
      <c r="A70" s="141" t="str">
        <f t="shared" si="0"/>
        <v>0053</v>
      </c>
      <c r="B70" s="101" t="s">
        <v>56</v>
      </c>
      <c r="C70" s="102">
        <v>2006</v>
      </c>
      <c r="D70" s="60">
        <f>IFERROR(IF(LEN(VLOOKUP($B70&amp;$C70,HeadcountAndScoresTable[],IF(D$7="Count",5,IF(D$7="ACT",6,7)),0))=0,"",VLOOKUP($B70&amp;$C70,HeadcountAndScoresTable[],IF(D$7="Count",5,IF(D$7="ACT",6,7)),0)),"")</f>
        <v>15</v>
      </c>
      <c r="E70" s="98">
        <f>IFERROR(IF(LEN(VLOOKUP($B70&amp;$C70,HeadcountAndScoresTable[],IF(E$7="Count",5,IF(E$7="ACT",6,7)),0))=0,"",VLOOKUP($B70&amp;$C70,HeadcountAndScoresTable[],IF(E$7="Count",5,IF(E$7="ACT",6,7)),0)),"")</f>
        <v>22.2</v>
      </c>
      <c r="F70" s="99" t="str">
        <f>IFERROR(IF(LEN(VLOOKUP($B70&amp;$C70,HeadcountAndScoresTable[],IF(F$7="Count",5,IF(F$7="ACT",6,7)),0))=0,"",VLOOKUP($B70&amp;$C70,HeadcountAndScoresTable[],IF(F$7="Count",5,IF(F$7="ACT",6,7)),0)),"")</f>
        <v/>
      </c>
      <c r="G70" s="100">
        <f>IFERROR(IF(LEN(VLOOKUP($B70&amp;$C70&amp;$C70+MID(G$7,4,IF(COLUMN()&gt;19,2,1))-IF(LEFT(G$7,2)="to",1,0),RatesTable[],IF(LEFT(G$7,2)="in",6,7),0))=0,"",VLOOKUP($B70&amp;$C70&amp;$C70+MID(G$7,4,IF(COLUMN()&gt;19,2,1))-IF(LEFT(G$7,2)="to",1,0),RatesTable[],IF(LEFT(G$7,2)="in",6,7),0)),"")</f>
        <v>0.4</v>
      </c>
      <c r="H70" s="71">
        <f>IFERROR(IF(LEN(VLOOKUP($B70&amp;$C70&amp;$C70+MID(H$7,4,IF(COLUMN()&gt;19,2,1))-IF(LEFT(H$7,2)="to",1,0),RatesTable[],IF(LEFT(H$7,2)="in",6,7),0))=0,"",VLOOKUP($B70&amp;$C70&amp;$C70+MID(H$7,4,IF(COLUMN()&gt;19,2,1))-IF(LEFT(H$7,2)="to",1,0),RatesTable[],IF(LEFT(H$7,2)="in",6,7),0)),"")</f>
        <v>0.33300000000000002</v>
      </c>
      <c r="I70" s="71">
        <f>IFERROR(IF(LEN(VLOOKUP($B70&amp;$C70&amp;$C70+MID(I$7,4,IF(COLUMN()&gt;19,2,1))-IF(LEFT(I$7,2)="to",1,0),RatesTable[],IF(LEFT(I$7,2)="in",6,7),0))=0,"",VLOOKUP($B70&amp;$C70&amp;$C70+MID(I$7,4,IF(COLUMN()&gt;19,2,1))-IF(LEFT(I$7,2)="to",1,0),RatesTable[],IF(LEFT(I$7,2)="in",6,7),0)),"")</f>
        <v>6.7000000000000004E-2</v>
      </c>
      <c r="J70" s="71">
        <f>IFERROR(IF(LEN(VLOOKUP($B70&amp;$C70&amp;$C70+MID(J$7,4,IF(COLUMN()&gt;19,2,1))-IF(LEFT(J$7,2)="to",1,0),RatesTable[],IF(LEFT(J$7,2)="in",6,7),0))=0,"",VLOOKUP($B70&amp;$C70&amp;$C70+MID(J$7,4,IF(COLUMN()&gt;19,2,1))-IF(LEFT(J$7,2)="to",1,0),RatesTable[],IF(LEFT(J$7,2)="in",6,7),0)),"")</f>
        <v>0.2</v>
      </c>
      <c r="K70" s="71">
        <f>IFERROR(IF(LEN(VLOOKUP($B70&amp;$C70&amp;$C70+MID(K$7,4,IF(COLUMN()&gt;19,2,1))-IF(LEFT(K$7,2)="to",1,0),RatesTable[],IF(LEFT(K$7,2)="in",6,7),0))=0,"",VLOOKUP($B70&amp;$C70&amp;$C70+MID(K$7,4,IF(COLUMN()&gt;19,2,1))-IF(LEFT(K$7,2)="to",1,0),RatesTable[],IF(LEFT(K$7,2)="in",6,7),0)),"")</f>
        <v>0.26700000000000002</v>
      </c>
      <c r="L70" s="71">
        <f>IFERROR(IF(LEN(VLOOKUP($B70&amp;$C70&amp;$C70+MID(L$7,4,IF(COLUMN()&gt;19,2,1))-IF(LEFT(L$7,2)="to",1,0),RatesTable[],IF(LEFT(L$7,2)="in",6,7),0))=0,"",VLOOKUP($B70&amp;$C70&amp;$C70+MID(L$7,4,IF(COLUMN()&gt;19,2,1))-IF(LEFT(L$7,2)="to",1,0),RatesTable[],IF(LEFT(L$7,2)="in",6,7),0)),"")</f>
        <v>0</v>
      </c>
      <c r="M70" s="71">
        <f>IFERROR(IF(LEN(VLOOKUP($B70&amp;$C70&amp;$C70+MID(M$7,4,IF(COLUMN()&gt;19,2,1))-IF(LEFT(M$7,2)="to",1,0),RatesTable[],IF(LEFT(M$7,2)="in",6,7),0))=0,"",VLOOKUP($B70&amp;$C70&amp;$C70+MID(M$7,4,IF(COLUMN()&gt;19,2,1))-IF(LEFT(M$7,2)="to",1,0),RatesTable[],IF(LEFT(M$7,2)="in",6,7),0)),"")</f>
        <v>0.26700000000000002</v>
      </c>
      <c r="N70" s="71">
        <f>IFERROR(IF(LEN(VLOOKUP($B70&amp;$C70&amp;$C70+MID(N$7,4,IF(COLUMN()&gt;19,2,1))-IF(LEFT(N$7,2)="to",1,0),RatesTable[],IF(LEFT(N$7,2)="in",6,7),0))=0,"",VLOOKUP($B70&amp;$C70&amp;$C70+MID(N$7,4,IF(COLUMN()&gt;19,2,1))-IF(LEFT(N$7,2)="to",1,0),RatesTable[],IF(LEFT(N$7,2)="in",6,7),0)),"")</f>
        <v>0</v>
      </c>
      <c r="O70" s="69">
        <f>IFERROR(IF(LEN(VLOOKUP($B70&amp;$C70&amp;$C70+MID(O$7,4,IF(COLUMN()&gt;19,2,1))-IF(LEFT(O$7,2)="to",1,0),RatesTable[],IF(LEFT(O$7,2)="in",6,7),0))=0,"",VLOOKUP($B70&amp;$C70&amp;$C70+MID(O$7,4,IF(COLUMN()&gt;19,2,1))-IF(LEFT(O$7,2)="to",1,0),RatesTable[],IF(LEFT(O$7,2)="in",6,7),0)),"")</f>
        <v>0.26700000000000002</v>
      </c>
      <c r="P70" s="69">
        <f>IFERROR(IF(LEN(VLOOKUP($B70&amp;$C70&amp;$C70+MID(P$7,4,IF(COLUMN()&gt;19,2,1))-IF(LEFT(P$7,2)="to",1,0),RatesTable[],IF(LEFT(P$7,2)="in",6,7),0))=0,"",VLOOKUP($B70&amp;$C70&amp;$C70+MID(P$7,4,IF(COLUMN()&gt;19,2,1))-IF(LEFT(P$7,2)="to",1,0),RatesTable[],IF(LEFT(P$7,2)="in",6,7),0)),"")</f>
        <v>0</v>
      </c>
      <c r="Q70" s="71">
        <f>4/15</f>
        <v>0.26666666666666666</v>
      </c>
      <c r="R70" s="71">
        <v>0</v>
      </c>
      <c r="S70" s="84" t="str">
        <f>IFERROR(IF(LEN(VLOOKUP($B70&amp;$C70&amp;$C70+MID(S$7,4,IF(COLUMN()&gt;19,2,1))-IF(LEFT(S$7,2)="to",1,0),RatesTable[],IF(LEFT(S$7,2)="in",6,7),0))=0,"",VLOOKUP($B70&amp;$C70&amp;$C70+MID(S$7,4,IF(COLUMN()&gt;19,2,1))-IF(LEFT(S$7,2)="to",1,0),RatesTable[],IF(LEFT(S$7,2)="in",6,7),0)),"")</f>
        <v/>
      </c>
      <c r="T70" s="84" t="str">
        <f>IFERROR(IF(LEN(VLOOKUP($B70&amp;$C70&amp;$C70+MID(T$7,4,IF(COLUMN()&gt;19,2,1))-IF(LEFT(T$7,2)="to",1,0),RatesTable[],IF(LEFT(T$7,2)="in",6,7),0))=0,"",VLOOKUP($B70&amp;$C70&amp;$C70+MID(T$7,4,IF(COLUMN()&gt;19,2,1))-IF(LEFT(T$7,2)="to",1,0),RatesTable[],IF(LEFT(T$7,2)="in",6,7),0)),"")</f>
        <v/>
      </c>
      <c r="V70" s="123"/>
      <c r="W70" s="16"/>
      <c r="X70" s="139"/>
      <c r="Y70" s="16"/>
    </row>
    <row r="71" spans="1:25" ht="15" customHeight="1" x14ac:dyDescent="0.2">
      <c r="A71" s="141" t="str">
        <f t="shared" si="0"/>
        <v>0053</v>
      </c>
      <c r="B71" s="101" t="s">
        <v>56</v>
      </c>
      <c r="C71" s="102">
        <v>2007</v>
      </c>
      <c r="D71" s="60">
        <f>IFERROR(IF(LEN(VLOOKUP($B71&amp;$C71,HeadcountAndScoresTable[],IF(D$7="Count",5,IF(D$7="ACT",6,7)),0))=0,"",VLOOKUP($B71&amp;$C71,HeadcountAndScoresTable[],IF(D$7="Count",5,IF(D$7="ACT",6,7)),0)),"")</f>
        <v>16</v>
      </c>
      <c r="E71" s="98">
        <f>IFERROR(IF(LEN(VLOOKUP($B71&amp;$C71,HeadcountAndScoresTable[],IF(E$7="Count",5,IF(E$7="ACT",6,7)),0))=0,"",VLOOKUP($B71&amp;$C71,HeadcountAndScoresTable[],IF(E$7="Count",5,IF(E$7="ACT",6,7)),0)),"")</f>
        <v>21.1</v>
      </c>
      <c r="F71" s="99" t="str">
        <f>IFERROR(IF(LEN(VLOOKUP($B71&amp;$C71,HeadcountAndScoresTable[],IF(F$7="Count",5,IF(F$7="ACT",6,7)),0))=0,"",VLOOKUP($B71&amp;$C71,HeadcountAndScoresTable[],IF(F$7="Count",5,IF(F$7="ACT",6,7)),0)),"")</f>
        <v/>
      </c>
      <c r="G71" s="100">
        <f>IFERROR(IF(LEN(VLOOKUP($B71&amp;$C71&amp;$C71+MID(G$7,4,IF(COLUMN()&gt;19,2,1))-IF(LEFT(G$7,2)="to",1,0),RatesTable[],IF(LEFT(G$7,2)="in",6,7),0))=0,"",VLOOKUP($B71&amp;$C71&amp;$C71+MID(G$7,4,IF(COLUMN()&gt;19,2,1))-IF(LEFT(G$7,2)="to",1,0),RatesTable[],IF(LEFT(G$7,2)="in",6,7),0)),"")</f>
        <v>0.81299999999999994</v>
      </c>
      <c r="H71" s="71">
        <f>IFERROR(IF(LEN(VLOOKUP($B71&amp;$C71&amp;$C71+MID(H$7,4,IF(COLUMN()&gt;19,2,1))-IF(LEFT(H$7,2)="to",1,0),RatesTable[],IF(LEFT(H$7,2)="in",6,7),0))=0,"",VLOOKUP($B71&amp;$C71&amp;$C71+MID(H$7,4,IF(COLUMN()&gt;19,2,1))-IF(LEFT(H$7,2)="to",1,0),RatesTable[],IF(LEFT(H$7,2)="in",6,7),0)),"")</f>
        <v>0.5</v>
      </c>
      <c r="I71" s="71">
        <f>IFERROR(IF(LEN(VLOOKUP($B71&amp;$C71&amp;$C71+MID(I$7,4,IF(COLUMN()&gt;19,2,1))-IF(LEFT(I$7,2)="to",1,0),RatesTable[],IF(LEFT(I$7,2)="in",6,7),0))=0,"",VLOOKUP($B71&amp;$C71&amp;$C71+MID(I$7,4,IF(COLUMN()&gt;19,2,1))-IF(LEFT(I$7,2)="to",1,0),RatesTable[],IF(LEFT(I$7,2)="in",6,7),0)),"")</f>
        <v>0.125</v>
      </c>
      <c r="J71" s="71">
        <f>IFERROR(IF(LEN(VLOOKUP($B71&amp;$C71&amp;$C71+MID(J$7,4,IF(COLUMN()&gt;19,2,1))-IF(LEFT(J$7,2)="to",1,0),RatesTable[],IF(LEFT(J$7,2)="in",6,7),0))=0,"",VLOOKUP($B71&amp;$C71&amp;$C71+MID(J$7,4,IF(COLUMN()&gt;19,2,1))-IF(LEFT(J$7,2)="to",1,0),RatesTable[],IF(LEFT(J$7,2)="in",6,7),0)),"")</f>
        <v>0.25</v>
      </c>
      <c r="K71" s="71">
        <f>IFERROR(IF(LEN(VLOOKUP($B71&amp;$C71&amp;$C71+MID(K$7,4,IF(COLUMN()&gt;19,2,1))-IF(LEFT(K$7,2)="to",1,0),RatesTable[],IF(LEFT(K$7,2)="in",6,7),0))=0,"",VLOOKUP($B71&amp;$C71&amp;$C71+MID(K$7,4,IF(COLUMN()&gt;19,2,1))-IF(LEFT(K$7,2)="to",1,0),RatesTable[],IF(LEFT(K$7,2)="in",6,7),0)),"")</f>
        <v>0.313</v>
      </c>
      <c r="L71" s="71">
        <f>IFERROR(IF(LEN(VLOOKUP($B71&amp;$C71&amp;$C71+MID(L$7,4,IF(COLUMN()&gt;19,2,1))-IF(LEFT(L$7,2)="to",1,0),RatesTable[],IF(LEFT(L$7,2)="in",6,7),0))=0,"",VLOOKUP($B71&amp;$C71&amp;$C71+MID(L$7,4,IF(COLUMN()&gt;19,2,1))-IF(LEFT(L$7,2)="to",1,0),RatesTable[],IF(LEFT(L$7,2)="in",6,7),0)),"")</f>
        <v>6.3E-2</v>
      </c>
      <c r="M71" s="69">
        <f>IFERROR(IF(LEN(VLOOKUP($B71&amp;$C71&amp;$C71+MID(M$7,4,IF(COLUMN()&gt;19,2,1))-IF(LEFT(M$7,2)="to",1,0),RatesTable[],IF(LEFT(M$7,2)="in",6,7),0))=0,"",VLOOKUP($B71&amp;$C71&amp;$C71+MID(M$7,4,IF(COLUMN()&gt;19,2,1))-IF(LEFT(M$7,2)="to",1,0),RatesTable[],IF(LEFT(M$7,2)="in",6,7),0)),"")</f>
        <v>0.375</v>
      </c>
      <c r="N71" s="69">
        <f>IFERROR(IF(LEN(VLOOKUP($B71&amp;$C71&amp;$C71+MID(N$7,4,IF(COLUMN()&gt;19,2,1))-IF(LEFT(N$7,2)="to",1,0),RatesTable[],IF(LEFT(N$7,2)="in",6,7),0))=0,"",VLOOKUP($B71&amp;$C71&amp;$C71+MID(N$7,4,IF(COLUMN()&gt;19,2,1))-IF(LEFT(N$7,2)="to",1,0),RatesTable[],IF(LEFT(N$7,2)="in",6,7),0)),"")</f>
        <v>0</v>
      </c>
      <c r="O71" s="71">
        <f>6/16</f>
        <v>0.375</v>
      </c>
      <c r="P71" s="71">
        <v>0</v>
      </c>
      <c r="S71" s="84" t="str">
        <f>IFERROR(IF(LEN(VLOOKUP($B71&amp;$C71&amp;$C71+MID(S$7,4,IF(COLUMN()&gt;19,2,1))-IF(LEFT(S$7,2)="to",1,0),RatesTable[],IF(LEFT(S$7,2)="in",6,7),0))=0,"",VLOOKUP($B71&amp;$C71&amp;$C71+MID(S$7,4,IF(COLUMN()&gt;19,2,1))-IF(LEFT(S$7,2)="to",1,0),RatesTable[],IF(LEFT(S$7,2)="in",6,7),0)),"")</f>
        <v/>
      </c>
      <c r="T71" s="84" t="str">
        <f>IFERROR(IF(LEN(VLOOKUP($B71&amp;$C71&amp;$C71+MID(T$7,4,IF(COLUMN()&gt;19,2,1))-IF(LEFT(T$7,2)="to",1,0),RatesTable[],IF(LEFT(T$7,2)="in",6,7),0))=0,"",VLOOKUP($B71&amp;$C71&amp;$C71+MID(T$7,4,IF(COLUMN()&gt;19,2,1))-IF(LEFT(T$7,2)="to",1,0),RatesTable[],IF(LEFT(T$7,2)="in",6,7),0)),"")</f>
        <v/>
      </c>
      <c r="V71" s="123"/>
      <c r="W71" s="16"/>
      <c r="X71" s="139"/>
      <c r="Y71" s="16"/>
    </row>
    <row r="72" spans="1:25" ht="15" customHeight="1" x14ac:dyDescent="0.2">
      <c r="A72" s="141" t="str">
        <f t="shared" si="0"/>
        <v>0053</v>
      </c>
      <c r="B72" s="101" t="s">
        <v>56</v>
      </c>
      <c r="C72" s="102">
        <v>2008</v>
      </c>
      <c r="D72" s="60">
        <f>IFERROR(IF(LEN(VLOOKUP($B72&amp;$C72,HeadcountAndScoresTable[],IF(D$7="Count",5,IF(D$7="ACT",6,7)),0))=0,"",VLOOKUP($B72&amp;$C72,HeadcountAndScoresTable[],IF(D$7="Count",5,IF(D$7="ACT",6,7)),0)),"")</f>
        <v>10</v>
      </c>
      <c r="E72" s="98">
        <f>IFERROR(IF(LEN(VLOOKUP($B72&amp;$C72,HeadcountAndScoresTable[],IF(E$7="Count",5,IF(E$7="ACT",6,7)),0))=0,"",VLOOKUP($B72&amp;$C72,HeadcountAndScoresTable[],IF(E$7="Count",5,IF(E$7="ACT",6,7)),0)),"")</f>
        <v>22.5</v>
      </c>
      <c r="F72" s="99" t="str">
        <f>IFERROR(IF(LEN(VLOOKUP($B72&amp;$C72,HeadcountAndScoresTable[],IF(F$7="Count",5,IF(F$7="ACT",6,7)),0))=0,"",VLOOKUP($B72&amp;$C72,HeadcountAndScoresTable[],IF(F$7="Count",5,IF(F$7="ACT",6,7)),0)),"")</f>
        <v/>
      </c>
      <c r="G72" s="100">
        <f>IFERROR(IF(LEN(VLOOKUP($B72&amp;$C72&amp;$C72+MID(G$7,4,IF(COLUMN()&gt;19,2,1))-IF(LEFT(G$7,2)="to",1,0),RatesTable[],IF(LEFT(G$7,2)="in",6,7),0))=0,"",VLOOKUP($B72&amp;$C72&amp;$C72+MID(G$7,4,IF(COLUMN()&gt;19,2,1))-IF(LEFT(G$7,2)="to",1,0),RatesTable[],IF(LEFT(G$7,2)="in",6,7),0)),"")</f>
        <v>0.7</v>
      </c>
      <c r="H72" s="71">
        <f>IFERROR(IF(LEN(VLOOKUP($B72&amp;$C72&amp;$C72+MID(H$7,4,IF(COLUMN()&gt;19,2,1))-IF(LEFT(H$7,2)="to",1,0),RatesTable[],IF(LEFT(H$7,2)="in",6,7),0))=0,"",VLOOKUP($B72&amp;$C72&amp;$C72+MID(H$7,4,IF(COLUMN()&gt;19,2,1))-IF(LEFT(H$7,2)="to",1,0),RatesTable[],IF(LEFT(H$7,2)="in",6,7),0)),"")</f>
        <v>0.6</v>
      </c>
      <c r="I72" s="71">
        <f>IFERROR(IF(LEN(VLOOKUP($B72&amp;$C72&amp;$C72+MID(I$7,4,IF(COLUMN()&gt;19,2,1))-IF(LEFT(I$7,2)="to",1,0),RatesTable[],IF(LEFT(I$7,2)="in",6,7),0))=0,"",VLOOKUP($B72&amp;$C72&amp;$C72+MID(I$7,4,IF(COLUMN()&gt;19,2,1))-IF(LEFT(I$7,2)="to",1,0),RatesTable[],IF(LEFT(I$7,2)="in",6,7),0)),"")</f>
        <v>0</v>
      </c>
      <c r="J72" s="71">
        <f>IFERROR(IF(LEN(VLOOKUP($B72&amp;$C72&amp;$C72+MID(J$7,4,IF(COLUMN()&gt;19,2,1))-IF(LEFT(J$7,2)="to",1,0),RatesTable[],IF(LEFT(J$7,2)="in",6,7),0))=0,"",VLOOKUP($B72&amp;$C72&amp;$C72+MID(J$7,4,IF(COLUMN()&gt;19,2,1))-IF(LEFT(J$7,2)="to",1,0),RatesTable[],IF(LEFT(J$7,2)="in",6,7),0)),"")</f>
        <v>0.3</v>
      </c>
      <c r="K72" s="69">
        <f>IFERROR(IF(LEN(VLOOKUP($B72&amp;$C72&amp;$C72+MID(K$7,4,IF(COLUMN()&gt;19,2,1))-IF(LEFT(K$7,2)="to",1,0),RatesTable[],IF(LEFT(K$7,2)="in",6,7),0))=0,"",VLOOKUP($B72&amp;$C72&amp;$C72+MID(K$7,4,IF(COLUMN()&gt;19,2,1))-IF(LEFT(K$7,2)="to",1,0),RatesTable[],IF(LEFT(K$7,2)="in",6,7),0)),"")</f>
        <v>0.1</v>
      </c>
      <c r="L72" s="69">
        <f>IFERROR(IF(LEN(VLOOKUP($B72&amp;$C72&amp;$C72+MID(L$7,4,IF(COLUMN()&gt;19,2,1))-IF(LEFT(L$7,2)="to",1,0),RatesTable[],IF(LEFT(L$7,2)="in",6,7),0))=0,"",VLOOKUP($B72&amp;$C72&amp;$C72+MID(L$7,4,IF(COLUMN()&gt;19,2,1))-IF(LEFT(L$7,2)="to",1,0),RatesTable[],IF(LEFT(L$7,2)="in",6,7),0)),"")</f>
        <v>0.2</v>
      </c>
      <c r="M72" s="71">
        <f>3/10</f>
        <v>0.3</v>
      </c>
      <c r="N72" s="71">
        <v>0</v>
      </c>
      <c r="O72" s="85"/>
      <c r="P72" s="85"/>
      <c r="S72" s="84" t="str">
        <f>IFERROR(IF(LEN(VLOOKUP($B72&amp;$C72&amp;$C72+MID(S$7,4,IF(COLUMN()&gt;19,2,1))-IF(LEFT(S$7,2)="to",1,0),RatesTable[],IF(LEFT(S$7,2)="in",6,7),0))=0,"",VLOOKUP($B72&amp;$C72&amp;$C72+MID(S$7,4,IF(COLUMN()&gt;19,2,1))-IF(LEFT(S$7,2)="to",1,0),RatesTable[],IF(LEFT(S$7,2)="in",6,7),0)),"")</f>
        <v/>
      </c>
      <c r="T72" s="84" t="str">
        <f>IFERROR(IF(LEN(VLOOKUP($B72&amp;$C72&amp;$C72+MID(T$7,4,IF(COLUMN()&gt;19,2,1))-IF(LEFT(T$7,2)="to",1,0),RatesTable[],IF(LEFT(T$7,2)="in",6,7),0))=0,"",VLOOKUP($B72&amp;$C72&amp;$C72+MID(T$7,4,IF(COLUMN()&gt;19,2,1))-IF(LEFT(T$7,2)="to",1,0),RatesTable[],IF(LEFT(T$7,2)="in",6,7),0)),"")</f>
        <v/>
      </c>
      <c r="V72" s="123"/>
      <c r="W72" s="16"/>
      <c r="X72" s="139"/>
      <c r="Y72" s="16"/>
    </row>
    <row r="73" spans="1:25" ht="15" customHeight="1" x14ac:dyDescent="0.2">
      <c r="A73" s="141" t="str">
        <f t="shared" si="0"/>
        <v>0053</v>
      </c>
      <c r="B73" s="101" t="s">
        <v>56</v>
      </c>
      <c r="C73" s="102">
        <v>2009</v>
      </c>
      <c r="D73" s="60">
        <f>IFERROR(IF(LEN(VLOOKUP($B73&amp;$C73,HeadcountAndScoresTable[],IF(D$7="Count",5,IF(D$7="ACT",6,7)),0))=0,"",VLOOKUP($B73&amp;$C73,HeadcountAndScoresTable[],IF(D$7="Count",5,IF(D$7="ACT",6,7)),0)),"")</f>
        <v>7</v>
      </c>
      <c r="E73" s="98">
        <f>IFERROR(IF(LEN(VLOOKUP($B73&amp;$C73,HeadcountAndScoresTable[],IF(E$7="Count",5,IF(E$7="ACT",6,7)),0))=0,"",VLOOKUP($B73&amp;$C73,HeadcountAndScoresTable[],IF(E$7="Count",5,IF(E$7="ACT",6,7)),0)),"")</f>
        <v>21.4</v>
      </c>
      <c r="F73" s="99" t="str">
        <f>IFERROR(IF(LEN(VLOOKUP($B73&amp;$C73,HeadcountAndScoresTable[],IF(F$7="Count",5,IF(F$7="ACT",6,7)),0))=0,"",VLOOKUP($B73&amp;$C73,HeadcountAndScoresTable[],IF(F$7="Count",5,IF(F$7="ACT",6,7)),0)),"")</f>
        <v/>
      </c>
      <c r="G73" s="100">
        <f>IFERROR(IF(LEN(VLOOKUP($B73&amp;$C73&amp;$C73+MID(G$7,4,IF(COLUMN()&gt;19,2,1))-IF(LEFT(G$7,2)="to",1,0),RatesTable[],IF(LEFT(G$7,2)="in",6,7),0))=0,"",VLOOKUP($B73&amp;$C73&amp;$C73+MID(G$7,4,IF(COLUMN()&gt;19,2,1))-IF(LEFT(G$7,2)="to",1,0),RatesTable[],IF(LEFT(G$7,2)="in",6,7),0)),"")</f>
        <v>0.57099999999999995</v>
      </c>
      <c r="H73" s="71">
        <f>IFERROR(IF(LEN(VLOOKUP($B73&amp;$C73&amp;$C73+MID(H$7,4,IF(COLUMN()&gt;19,2,1))-IF(LEFT(H$7,2)="to",1,0),RatesTable[],IF(LEFT(H$7,2)="in",6,7),0))=0,"",VLOOKUP($B73&amp;$C73&amp;$C73+MID(H$7,4,IF(COLUMN()&gt;19,2,1))-IF(LEFT(H$7,2)="to",1,0),RatesTable[],IF(LEFT(H$7,2)="in",6,7),0)),"")</f>
        <v>0.14299999999999999</v>
      </c>
      <c r="I73" s="69">
        <f>IFERROR(IF(LEN(VLOOKUP($B73&amp;$C73&amp;$C73+MID(I$7,4,IF(COLUMN()&gt;19,2,1))-IF(LEFT(I$7,2)="to",1,0),RatesTable[],IF(LEFT(I$7,2)="in",6,7),0))=0,"",VLOOKUP($B73&amp;$C73&amp;$C73+MID(I$7,4,IF(COLUMN()&gt;19,2,1))-IF(LEFT(I$7,2)="to",1,0),RatesTable[],IF(LEFT(I$7,2)="in",6,7),0)),"")</f>
        <v>0.14299999999999999</v>
      </c>
      <c r="J73" s="63">
        <f>IFERROR(IF(LEN(VLOOKUP($B73&amp;$C73&amp;$C73+MID(J$7,4,IF(COLUMN()&gt;19,2,1))-IF(LEFT(J$7,2)="to",1,0),RatesTable[],IF(LEFT(J$7,2)="in",6,7),0))=0,"",VLOOKUP($B73&amp;$C73&amp;$C73+MID(J$7,4,IF(COLUMN()&gt;19,2,1))-IF(LEFT(J$7,2)="to",1,0),RatesTable[],IF(LEFT(J$7,2)="in",6,7),0)),"")</f>
        <v>0</v>
      </c>
      <c r="K73" s="71">
        <f>1/7</f>
        <v>0.14285714285714285</v>
      </c>
      <c r="L73" s="71">
        <v>0</v>
      </c>
      <c r="M73" s="88"/>
      <c r="N73" s="88"/>
      <c r="O73" s="86"/>
      <c r="P73" s="86"/>
      <c r="Q73" s="87"/>
      <c r="R73" s="87"/>
      <c r="S73" s="84" t="str">
        <f>IFERROR(IF(LEN(VLOOKUP($B73&amp;$C73&amp;$C73+MID(S$7,4,IF(COLUMN()&gt;19,2,1))-IF(LEFT(S$7,2)="to",1,0),RatesTable[],IF(LEFT(S$7,2)="in",6,7),0))=0,"",VLOOKUP($B73&amp;$C73&amp;$C73+MID(S$7,4,IF(COLUMN()&gt;19,2,1))-IF(LEFT(S$7,2)="to",1,0),RatesTable[],IF(LEFT(S$7,2)="in",6,7),0)),"")</f>
        <v/>
      </c>
      <c r="T73" s="84" t="str">
        <f>IFERROR(IF(LEN(VLOOKUP($B73&amp;$C73&amp;$C73+MID(T$7,4,IF(COLUMN()&gt;19,2,1))-IF(LEFT(T$7,2)="to",1,0),RatesTable[],IF(LEFT(T$7,2)="in",6,7),0))=0,"",VLOOKUP($B73&amp;$C73&amp;$C73+MID(T$7,4,IF(COLUMN()&gt;19,2,1))-IF(LEFT(T$7,2)="to",1,0),RatesTable[],IF(LEFT(T$7,2)="in",6,7),0)),"")</f>
        <v/>
      </c>
      <c r="V73" s="123"/>
      <c r="W73" s="16"/>
      <c r="X73" s="139"/>
      <c r="Y73" s="16"/>
    </row>
    <row r="74" spans="1:25" ht="15" customHeight="1" x14ac:dyDescent="0.2">
      <c r="A74" s="141" t="str">
        <f t="shared" ref="A74:A107" si="1">REPT("0",4-LEN($A$8))&amp;$A$8</f>
        <v>0053</v>
      </c>
      <c r="B74" s="101" t="s">
        <v>56</v>
      </c>
      <c r="C74" s="102">
        <v>2010</v>
      </c>
      <c r="D74" s="60">
        <f>IFERROR(IF(LEN(VLOOKUP($B74&amp;$C74,HeadcountAndScoresTable[],IF(D$7="Count",5,IF(D$7="ACT",6,7)),0))=0,"",VLOOKUP($B74&amp;$C74,HeadcountAndScoresTable[],IF(D$7="Count",5,IF(D$7="ACT",6,7)),0)),"")</f>
        <v>11</v>
      </c>
      <c r="E74" s="98">
        <f>IFERROR(IF(LEN(VLOOKUP($B74&amp;$C74,HeadcountAndScoresTable[],IF(E$7="Count",5,IF(E$7="ACT",6,7)),0))=0,"",VLOOKUP($B74&amp;$C74,HeadcountAndScoresTable[],IF(E$7="Count",5,IF(E$7="ACT",6,7)),0)),"")</f>
        <v>23.5</v>
      </c>
      <c r="F74" s="99" t="str">
        <f>IFERROR(IF(LEN(VLOOKUP($B74&amp;$C74,HeadcountAndScoresTable[],IF(F$7="Count",5,IF(F$7="ACT",6,7)),0))=0,"",VLOOKUP($B74&amp;$C74,HeadcountAndScoresTable[],IF(F$7="Count",5,IF(F$7="ACT",6,7)),0)),"")</f>
        <v/>
      </c>
      <c r="G74" s="61">
        <f>IFERROR(IF(LEN(VLOOKUP($B74&amp;$C74&amp;$C74+MID(G$7,4,IF(COLUMN()&gt;19,2,1))-IF(LEFT(G$7,2)="to",1,0),RatesTable[],IF(LEFT(G$7,2)="in",6,7),0))=0,"",VLOOKUP($B74&amp;$C74&amp;$C74+MID(G$7,4,IF(COLUMN()&gt;19,2,1))-IF(LEFT(G$7,2)="to",1,0),RatesTable[],IF(LEFT(G$7,2)="in",6,7),0)),"")</f>
        <v>0.72699999999999998</v>
      </c>
      <c r="H74" s="70">
        <f>IFERROR(IF(LEN(VLOOKUP($B74&amp;$C74&amp;$C74+MID(H$7,4,IF(COLUMN()&gt;19,2,1))-IF(LEFT(H$7,2)="to",1,0),RatesTable[],IF(LEFT(H$7,2)="in",6,7),0))=0,"",VLOOKUP($B74&amp;$C74&amp;$C74+MID(H$7,4,IF(COLUMN()&gt;19,2,1))-IF(LEFT(H$7,2)="to",1,0),RatesTable[],IF(LEFT(H$7,2)="in",6,7),0)),"")</f>
        <v>0.54500000000000004</v>
      </c>
      <c r="I74" s="71">
        <f>2/11</f>
        <v>0.18181818181818182</v>
      </c>
      <c r="J74" s="71">
        <f>3/11</f>
        <v>0.27272727272727271</v>
      </c>
      <c r="K74" s="88"/>
      <c r="L74" s="88"/>
      <c r="M74" s="88"/>
      <c r="N74" s="88"/>
      <c r="O74" s="86"/>
      <c r="P74" s="86"/>
      <c r="Q74" s="87"/>
      <c r="R74" s="87"/>
      <c r="S74" s="84" t="str">
        <f>IFERROR(IF(LEN(VLOOKUP($B74&amp;$C74&amp;$C74+MID(S$7,4,IF(COLUMN()&gt;19,2,1))-IF(LEFT(S$7,2)="to",1,0),RatesTable[],IF(LEFT(S$7,2)="in",6,7),0))=0,"",VLOOKUP($B74&amp;$C74&amp;$C74+MID(S$7,4,IF(COLUMN()&gt;19,2,1))-IF(LEFT(S$7,2)="to",1,0),RatesTable[],IF(LEFT(S$7,2)="in",6,7),0)),"")</f>
        <v/>
      </c>
      <c r="T74" s="84" t="str">
        <f>IFERROR(IF(LEN(VLOOKUP($B74&amp;$C74&amp;$C74+MID(T$7,4,IF(COLUMN()&gt;19,2,1))-IF(LEFT(T$7,2)="to",1,0),RatesTable[],IF(LEFT(T$7,2)="in",6,7),0))=0,"",VLOOKUP($B74&amp;$C74&amp;$C74+MID(T$7,4,IF(COLUMN()&gt;19,2,1))-IF(LEFT(T$7,2)="to",1,0),RatesTable[],IF(LEFT(T$7,2)="in",6,7),0)),"")</f>
        <v/>
      </c>
      <c r="V74" s="123"/>
      <c r="W74" s="16"/>
      <c r="X74" s="139"/>
      <c r="Y74" s="16"/>
    </row>
    <row r="75" spans="1:25" ht="15" customHeight="1" x14ac:dyDescent="0.2">
      <c r="A75" s="141" t="str">
        <f t="shared" si="1"/>
        <v>0053</v>
      </c>
      <c r="B75" s="101" t="s">
        <v>56</v>
      </c>
      <c r="C75" s="102">
        <v>2011</v>
      </c>
      <c r="D75" s="60">
        <f>IFERROR(IF(LEN(VLOOKUP($B75&amp;$C75,HeadcountAndScoresTable[],IF(D$7="Count",5,IF(D$7="ACT",6,7)),0))=0,"",VLOOKUP($B75&amp;$C75,HeadcountAndScoresTable[],IF(D$7="Count",5,IF(D$7="ACT",6,7)),0)),"")</f>
        <v>7</v>
      </c>
      <c r="E75" s="98">
        <f>IFERROR(IF(LEN(VLOOKUP($B75&amp;$C75,HeadcountAndScoresTable[],IF(E$7="Count",5,IF(E$7="ACT",6,7)),0))=0,"",VLOOKUP($B75&amp;$C75,HeadcountAndScoresTable[],IF(E$7="Count",5,IF(E$7="ACT",6,7)),0)),"")</f>
        <v>21.1</v>
      </c>
      <c r="F75" s="99" t="str">
        <f>IFERROR(IF(LEN(VLOOKUP($B75&amp;$C75,HeadcountAndScoresTable[],IF(F$7="Count",5,IF(F$7="ACT",6,7)),0))=0,"",VLOOKUP($B75&amp;$C75,HeadcountAndScoresTable[],IF(F$7="Count",5,IF(F$7="ACT",6,7)),0)),"")</f>
        <v/>
      </c>
      <c r="G75" s="61">
        <f>IFERROR(IF(LEN(VLOOKUP($B75&amp;$C75&amp;$C75+MID(G$7,4,IF(COLUMN()&gt;19,2,1))-IF(LEFT(G$7,2)="to",1,0),RatesTable[],IF(LEFT(G$7,2)="in",6,7),0))=0,"",VLOOKUP($B75&amp;$C75&amp;$C75+MID(G$7,4,IF(COLUMN()&gt;19,2,1))-IF(LEFT(G$7,2)="to",1,0),RatesTable[],IF(LEFT(G$7,2)="in",6,7),0)),"")</f>
        <v>0.57099999999999995</v>
      </c>
      <c r="H75" s="71">
        <f>IFERROR(IF(LEN(VLOOKUP($B75&amp;$C75&amp;$C75+MID(H$7,4,IF(COLUMN()&gt;19,2,1))-IF(LEFT(H$7,2)="to",1,0),RatesTable[],IF(LEFT(H$7,2)="in",6,7),0))=0,"",VLOOKUP($B75&amp;$C75&amp;$C75+MID(H$7,4,IF(COLUMN()&gt;19,2,1))-IF(LEFT(H$7,2)="to",1,0),RatesTable[],IF(LEFT(H$7,2)="in",6,7),0)),"")</f>
        <v>0.42899999999999999</v>
      </c>
      <c r="I75" s="88"/>
      <c r="J75" s="88"/>
      <c r="K75" s="88"/>
      <c r="L75" s="88"/>
      <c r="M75" s="88"/>
      <c r="N75" s="88"/>
      <c r="O75" s="86"/>
      <c r="P75" s="86"/>
      <c r="Q75" s="87"/>
      <c r="R75" s="87"/>
      <c r="S75" s="84" t="str">
        <f>IFERROR(IF(LEN(VLOOKUP($B75&amp;$C75&amp;$C75+MID(S$7,4,IF(COLUMN()&gt;19,2,1))-IF(LEFT(S$7,2)="to",1,0),RatesTable[],IF(LEFT(S$7,2)="in",6,7),0))=0,"",VLOOKUP($B75&amp;$C75&amp;$C75+MID(S$7,4,IF(COLUMN()&gt;19,2,1))-IF(LEFT(S$7,2)="to",1,0),RatesTable[],IF(LEFT(S$7,2)="in",6,7),0)),"")</f>
        <v/>
      </c>
      <c r="T75" s="84" t="str">
        <f>IFERROR(IF(LEN(VLOOKUP($B75&amp;$C75&amp;$C75+MID(T$7,4,IF(COLUMN()&gt;19,2,1))-IF(LEFT(T$7,2)="to",1,0),RatesTable[],IF(LEFT(T$7,2)="in",6,7),0))=0,"",VLOOKUP($B75&amp;$C75&amp;$C75+MID(T$7,4,IF(COLUMN()&gt;19,2,1))-IF(LEFT(T$7,2)="to",1,0),RatesTable[],IF(LEFT(T$7,2)="in",6,7),0)),"")</f>
        <v/>
      </c>
      <c r="V75" s="123"/>
      <c r="W75" s="16"/>
      <c r="X75" s="139"/>
      <c r="Y75" s="16"/>
    </row>
    <row r="76" spans="1:25" ht="15" customHeight="1" x14ac:dyDescent="0.2">
      <c r="A76" s="141" t="str">
        <f t="shared" si="1"/>
        <v>0053</v>
      </c>
      <c r="B76" s="101" t="s">
        <v>56</v>
      </c>
      <c r="C76" s="102">
        <v>2012</v>
      </c>
      <c r="D76" s="60">
        <f>IFERROR(IF(LEN(VLOOKUP($B76&amp;$C76,HeadcountAndScoresTable[],IF(D$7="Count",5,IF(D$7="ACT",6,7)),0))=0,"",VLOOKUP($B76&amp;$C76,HeadcountAndScoresTable[],IF(D$7="Count",5,IF(D$7="ACT",6,7)),0)),"")</f>
        <v>16</v>
      </c>
      <c r="E76" s="98">
        <f>IFERROR(IF(LEN(VLOOKUP($B76&amp;$C76,HeadcountAndScoresTable[],IF(E$7="Count",5,IF(E$7="ACT",6,7)),0))=0,"",VLOOKUP($B76&amp;$C76,HeadcountAndScoresTable[],IF(E$7="Count",5,IF(E$7="ACT",6,7)),0)),"")</f>
        <v>20.399999999999999</v>
      </c>
      <c r="F76" s="99" t="str">
        <f>IFERROR(IF(LEN(VLOOKUP($B76&amp;$C76,HeadcountAndScoresTable[],IF(F$7="Count",5,IF(F$7="ACT",6,7)),0))=0,"",VLOOKUP($B76&amp;$C76,HeadcountAndScoresTable[],IF(F$7="Count",5,IF(F$7="ACT",6,7)),0)),"")</f>
        <v/>
      </c>
      <c r="G76" s="61">
        <f>IFERROR(IF(LEN(VLOOKUP($B76&amp;$C76&amp;$C76+MID(G$7,4,IF(COLUMN()&gt;19,2,1))-IF(LEFT(G$7,2)="to",1,0),RatesTable[],IF(LEFT(G$7,2)="in",6,7),0))=0,"",VLOOKUP($B76&amp;$C76&amp;$C76+MID(G$7,4,IF(COLUMN()&gt;19,2,1))-IF(LEFT(G$7,2)="to",1,0),RatesTable[],IF(LEFT(G$7,2)="in",6,7),0)),"")</f>
        <v>0.56299999999999994</v>
      </c>
      <c r="H76" s="71">
        <f>8/16</f>
        <v>0.5</v>
      </c>
      <c r="I76" s="88"/>
      <c r="J76" s="88"/>
      <c r="K76" s="88"/>
      <c r="L76" s="88"/>
      <c r="M76" s="88"/>
      <c r="N76" s="88"/>
      <c r="O76" s="86"/>
      <c r="P76" s="86"/>
      <c r="Q76" s="87"/>
      <c r="R76" s="87"/>
      <c r="S76" s="84" t="str">
        <f>IFERROR(IF(LEN(VLOOKUP($B76&amp;$C76&amp;$C76+MID(S$7,4,IF(COLUMN()&gt;19,2,1))-IF(LEFT(S$7,2)="to",1,0),RatesTable[],IF(LEFT(S$7,2)="in",6,7),0))=0,"",VLOOKUP($B76&amp;$C76&amp;$C76+MID(S$7,4,IF(COLUMN()&gt;19,2,1))-IF(LEFT(S$7,2)="to",1,0),RatesTable[],IF(LEFT(S$7,2)="in",6,7),0)),"")</f>
        <v/>
      </c>
      <c r="T76" s="84" t="str">
        <f>IFERROR(IF(LEN(VLOOKUP($B76&amp;$C76&amp;$C76+MID(T$7,4,IF(COLUMN()&gt;19,2,1))-IF(LEFT(T$7,2)="to",1,0),RatesTable[],IF(LEFT(T$7,2)="in",6,7),0))=0,"",VLOOKUP($B76&amp;$C76&amp;$C76+MID(T$7,4,IF(COLUMN()&gt;19,2,1))-IF(LEFT(T$7,2)="to",1,0),RatesTable[],IF(LEFT(T$7,2)="in",6,7),0)),"")</f>
        <v/>
      </c>
      <c r="V76" s="123"/>
      <c r="W76" s="16"/>
      <c r="X76" s="139"/>
      <c r="Y76" s="16"/>
    </row>
    <row r="77" spans="1:25" ht="15" customHeight="1" x14ac:dyDescent="0.2">
      <c r="A77" s="141" t="str">
        <f t="shared" si="1"/>
        <v>0053</v>
      </c>
      <c r="B77" s="101" t="s">
        <v>56</v>
      </c>
      <c r="C77" s="97">
        <v>2013</v>
      </c>
      <c r="D77" s="60">
        <v>20</v>
      </c>
      <c r="E77" s="98">
        <v>21.6</v>
      </c>
      <c r="F77" s="99" t="str">
        <f>IFERROR(IF(LEN(VLOOKUP($B77&amp;$C77,HeadcountAndScoresTable[],IF(F$7="Count",5,IF(F$7="ACT",6,7)),0))=0,"",VLOOKUP($B77&amp;$C77,HeadcountAndScoresTable[],IF(F$7="Count",5,IF(F$7="ACT",6,7)),0)),"")</f>
        <v/>
      </c>
      <c r="G77" s="100">
        <f>15/20</f>
        <v>0.75</v>
      </c>
      <c r="H77" s="88"/>
      <c r="I77" s="88"/>
      <c r="J77" s="88"/>
      <c r="K77" s="88"/>
      <c r="L77" s="88"/>
      <c r="M77" s="88"/>
      <c r="N77" s="88"/>
      <c r="O77" s="86"/>
      <c r="P77" s="86"/>
      <c r="Q77" s="87"/>
      <c r="R77" s="87"/>
      <c r="S77" s="84" t="str">
        <f>IFERROR(IF(LEN(VLOOKUP($B77&amp;$C77&amp;$C77+MID(S$7,4,IF(COLUMN()&gt;19,2,1))-IF(LEFT(S$7,2)="to",1,0),RatesTable[],IF(LEFT(S$7,2)="in",6,7),0))=0,"",VLOOKUP($B77&amp;$C77&amp;$C77+MID(S$7,4,IF(COLUMN()&gt;19,2,1))-IF(LEFT(S$7,2)="to",1,0),RatesTable[],IF(LEFT(S$7,2)="in",6,7),0)),"")</f>
        <v/>
      </c>
      <c r="T77" s="84" t="str">
        <f>IFERROR(IF(LEN(VLOOKUP($B77&amp;$C77&amp;$C77+MID(T$7,4,IF(COLUMN()&gt;19,2,1))-IF(LEFT(T$7,2)="to",1,0),RatesTable[],IF(LEFT(T$7,2)="in",6,7),0))=0,"",VLOOKUP($B77&amp;$C77&amp;$C77+MID(T$7,4,IF(COLUMN()&gt;19,2,1))-IF(LEFT(T$7,2)="to",1,0),RatesTable[],IF(LEFT(T$7,2)="in",6,7),0)),"")</f>
        <v/>
      </c>
      <c r="V77" s="123"/>
      <c r="W77" s="16"/>
      <c r="X77" s="139"/>
      <c r="Y77" s="16"/>
    </row>
    <row r="78" spans="1:25" ht="15" customHeight="1" x14ac:dyDescent="0.2">
      <c r="A78" s="141" t="str">
        <f t="shared" si="1"/>
        <v>0053</v>
      </c>
      <c r="B78" s="101" t="s">
        <v>60</v>
      </c>
      <c r="C78" s="102">
        <v>2004</v>
      </c>
      <c r="D78" s="60">
        <f>IFERROR(IF(LEN(VLOOKUP($B78&amp;$C78,HeadcountAndScoresTable[],IF(D$7="Count",5,IF(D$7="ACT",6,7)),0))=0,"",VLOOKUP($B78&amp;$C78,HeadcountAndScoresTable[],IF(D$7="Count",5,IF(D$7="ACT",6,7)),0)),"")</f>
        <v>668</v>
      </c>
      <c r="E78" s="98">
        <f>IFERROR(IF(LEN(VLOOKUP($B78&amp;$C78,HeadcountAndScoresTable[],IF(E$7="Count",5,IF(E$7="ACT",6,7)),0))=0,"",VLOOKUP($B78&amp;$C78,HeadcountAndScoresTable[],IF(E$7="Count",5,IF(E$7="ACT",6,7)),0)),"")</f>
        <v>21.3</v>
      </c>
      <c r="F78" s="99" t="str">
        <f>IFERROR(IF(LEN(VLOOKUP($B78&amp;$C78,HeadcountAndScoresTable[],IF(F$7="Count",5,IF(F$7="ACT",6,7)),0))=0,"",VLOOKUP($B78&amp;$C78,HeadcountAndScoresTable[],IF(F$7="Count",5,IF(F$7="ACT",6,7)),0)),"")</f>
        <v/>
      </c>
      <c r="G78" s="100">
        <f>IFERROR(IF(LEN(VLOOKUP($B78&amp;$C78&amp;$C78+MID(G$7,4,IF(COLUMN()&gt;19,2,1))-IF(LEFT(G$7,2)="to",1,0),RatesTable[],IF(LEFT(G$7,2)="in",6,7),0))=0,"",VLOOKUP($B78&amp;$C78&amp;$C78+MID(G$7,4,IF(COLUMN()&gt;19,2,1))-IF(LEFT(G$7,2)="to",1,0),RatesTable[],IF(LEFT(G$7,2)="in",6,7),0)),"")</f>
        <v>0.69599999999999995</v>
      </c>
      <c r="H78" s="71">
        <f>IFERROR(IF(LEN(VLOOKUP($B78&amp;$C78&amp;$C78+MID(H$7,4,IF(COLUMN()&gt;19,2,1))-IF(LEFT(H$7,2)="to",1,0),RatesTable[],IF(LEFT(H$7,2)="in",6,7),0))=0,"",VLOOKUP($B78&amp;$C78&amp;$C78+MID(H$7,4,IF(COLUMN()&gt;19,2,1))-IF(LEFT(H$7,2)="to",1,0),RatesTable[],IF(LEFT(H$7,2)="in",6,7),0)),"")</f>
        <v>0.55100000000000005</v>
      </c>
      <c r="I78" s="71">
        <f>IFERROR(IF(LEN(VLOOKUP($B78&amp;$C78&amp;$C78+MID(I$7,4,IF(COLUMN()&gt;19,2,1))-IF(LEFT(I$7,2)="to",1,0),RatesTable[],IF(LEFT(I$7,2)="in",6,7),0))=0,"",VLOOKUP($B78&amp;$C78&amp;$C78+MID(I$7,4,IF(COLUMN()&gt;19,2,1))-IF(LEFT(I$7,2)="to",1,0),RatesTable[],IF(LEFT(I$7,2)="in",6,7),0)),"")</f>
        <v>0.13600000000000001</v>
      </c>
      <c r="J78" s="71">
        <f>IFERROR(IF(LEN(VLOOKUP($B78&amp;$C78&amp;$C78+MID(J$7,4,IF(COLUMN()&gt;19,2,1))-IF(LEFT(J$7,2)="to",1,0),RatesTable[],IF(LEFT(J$7,2)="in",6,7),0))=0,"",VLOOKUP($B78&amp;$C78&amp;$C78+MID(J$7,4,IF(COLUMN()&gt;19,2,1))-IF(LEFT(J$7,2)="to",1,0),RatesTable[],IF(LEFT(J$7,2)="in",6,7),0)),"")</f>
        <v>0.28699999999999998</v>
      </c>
      <c r="K78" s="71">
        <f>IFERROR(IF(LEN(VLOOKUP($B78&amp;$C78&amp;$C78+MID(K$7,4,IF(COLUMN()&gt;19,2,1))-IF(LEFT(K$7,2)="to",1,0),RatesTable[],IF(LEFT(K$7,2)="in",6,7),0))=0,"",VLOOKUP($B78&amp;$C78&amp;$C78+MID(K$7,4,IF(COLUMN()&gt;19,2,1))-IF(LEFT(K$7,2)="to",1,0),RatesTable[],IF(LEFT(K$7,2)="in",6,7),0)),"")</f>
        <v>0.32300000000000001</v>
      </c>
      <c r="L78" s="71">
        <f>IFERROR(IF(LEN(VLOOKUP($B78&amp;$C78&amp;$C78+MID(L$7,4,IF(COLUMN()&gt;19,2,1))-IF(LEFT(L$7,2)="to",1,0),RatesTable[],IF(LEFT(L$7,2)="in",6,7),0))=0,"",VLOOKUP($B78&amp;$C78&amp;$C78+MID(L$7,4,IF(COLUMN()&gt;19,2,1))-IF(LEFT(L$7,2)="to",1,0),RatesTable[],IF(LEFT(L$7,2)="in",6,7),0)),"")</f>
        <v>8.7999999999999995E-2</v>
      </c>
      <c r="M78" s="69">
        <f>IFERROR(IF(LEN(VLOOKUP($B78&amp;$C78&amp;$C78+MID(M$7,4,IF(COLUMN()&gt;19,2,1))-IF(LEFT(M$7,2)="to",1,0),RatesTable[],IF(LEFT(M$7,2)="in",6,7),0))=0,"",VLOOKUP($B78&amp;$C78&amp;$C78+MID(M$7,4,IF(COLUMN()&gt;19,2,1))-IF(LEFT(M$7,2)="to",1,0),RatesTable[],IF(LEFT(M$7,2)="in",6,7),0)),"")</f>
        <v>0.374</v>
      </c>
      <c r="N78" s="69">
        <f>IFERROR(IF(LEN(VLOOKUP($B78&amp;$C78&amp;$C78+MID(N$7,4,IF(COLUMN()&gt;19,2,1))-IF(LEFT(N$7,2)="to",1,0),RatesTable[],IF(LEFT(N$7,2)="in",6,7),0))=0,"",VLOOKUP($B78&amp;$C78&amp;$C78+MID(N$7,4,IF(COLUMN()&gt;19,2,1))-IF(LEFT(N$7,2)="to",1,0),RatesTable[],IF(LEFT(N$7,2)="in",6,7),0)),"")</f>
        <v>3.1E-2</v>
      </c>
      <c r="O78" s="69">
        <f>IFERROR(IF(LEN(VLOOKUP($B78&amp;$C78&amp;$C78+MID(O$7,4,IF(COLUMN()&gt;19,2,1))-IF(LEFT(O$7,2)="to",1,0),RatesTable[],IF(LEFT(O$7,2)="in",6,7),0))=0,"",VLOOKUP($B78&amp;$C78&amp;$C78+MID(O$7,4,IF(COLUMN()&gt;19,2,1))-IF(LEFT(O$7,2)="to",1,0),RatesTable[],IF(LEFT(O$7,2)="in",6,7),0)),"")</f>
        <v>0.39400000000000002</v>
      </c>
      <c r="P78" s="69">
        <f>IFERROR(IF(LEN(VLOOKUP($B78&amp;$C78&amp;$C78+MID(P$7,4,IF(COLUMN()&gt;19,2,1))-IF(LEFT(P$7,2)="to",1,0),RatesTable[],IF(LEFT(P$7,2)="in",6,7),0))=0,"",VLOOKUP($B78&amp;$C78&amp;$C78+MID(P$7,4,IF(COLUMN()&gt;19,2,1))-IF(LEFT(P$7,2)="to",1,0),RatesTable[],IF(LEFT(P$7,2)="in",6,7),0)),"")</f>
        <v>2.1000000000000001E-2</v>
      </c>
      <c r="Q78" s="69">
        <f>IFERROR(IF(LEN(VLOOKUP($B78&amp;$C78&amp;$C78+MID(Q$7,4,IF(COLUMN()&gt;19,2,1))-IF(LEFT(Q$7,2)="to",1,0),RatesTable[],IF(LEFT(Q$7,2)="in",6,7),0))=0,"",VLOOKUP($B78&amp;$C78&amp;$C78+MID(Q$7,4,IF(COLUMN()&gt;19,2,1))-IF(LEFT(Q$7,2)="to",1,0),RatesTable[],IF(LEFT(Q$7,2)="in",6,7),0)),"")</f>
        <v>0.40600000000000003</v>
      </c>
      <c r="R78" s="69">
        <f>IFERROR(IF(LEN(VLOOKUP($B78&amp;$C78&amp;$C78+MID(R$7,4,IF(COLUMN()&gt;19,2,1))-IF(LEFT(R$7,2)="to",1,0),RatesTable[],IF(LEFT(R$7,2)="in",6,7),0))=0,"",VLOOKUP($B78&amp;$C78&amp;$C78+MID(R$7,4,IF(COLUMN()&gt;19,2,1))-IF(LEFT(R$7,2)="to",1,0),RatesTable[],IF(LEFT(R$7,2)="in",6,7),0)),"")</f>
        <v>7.0000000000000001E-3</v>
      </c>
      <c r="S78" s="69">
        <f>IFERROR(IF(LEN(VLOOKUP($B78&amp;$C78&amp;$C78+MID(S$7,4,IF(COLUMN()&gt;19,2,1))-IF(LEFT(S$7,2)="to",1,0),RatesTable[],IF(LEFT(S$7,2)="in",6,7),0))=0,"",VLOOKUP($B78&amp;$C78&amp;$C78+MID(S$7,4,IF(COLUMN()&gt;19,2,1))-IF(LEFT(S$7,2)="to",1,0),RatesTable[],IF(LEFT(S$7,2)="in",6,7),0)),"")</f>
        <v>0.40899999999999997</v>
      </c>
      <c r="T78" s="69">
        <f>IFERROR(IF(LEN(VLOOKUP($B78&amp;$C78&amp;$C78+MID(T$7,4,IF(COLUMN()&gt;19,2,1))-IF(LEFT(T$7,2)="to",1,0),RatesTable[],IF(LEFT(T$7,2)="in",6,7),0))=0,"",VLOOKUP($B78&amp;$C78&amp;$C78+MID(T$7,4,IF(COLUMN()&gt;19,2,1))-IF(LEFT(T$7,2)="to",1,0),RatesTable[],IF(LEFT(T$7,2)="in",6,7),0)),"")</f>
        <v>1.4999999999999999E-2</v>
      </c>
      <c r="U78" s="71">
        <f>274/668</f>
        <v>0.41017964071856289</v>
      </c>
      <c r="V78" s="124">
        <f>7/668</f>
        <v>1.0479041916167664E-2</v>
      </c>
      <c r="W78" s="16"/>
      <c r="X78" s="139"/>
      <c r="Y78" s="16"/>
    </row>
    <row r="79" spans="1:25" ht="15" customHeight="1" x14ac:dyDescent="0.2">
      <c r="A79" s="141" t="str">
        <f t="shared" si="1"/>
        <v>0053</v>
      </c>
      <c r="B79" s="101" t="s">
        <v>60</v>
      </c>
      <c r="C79" s="102">
        <v>2005</v>
      </c>
      <c r="D79" s="99">
        <f>IFERROR(IF(LEN(VLOOKUP($B79&amp;$C79,HeadcountAndScoresTable[],IF(D$7="Count",5,IF(D$7="ACT",6,7)),0))=0,"",VLOOKUP($B79&amp;$C79,HeadcountAndScoresTable[],IF(D$7="Count",5,IF(D$7="ACT",6,7)),0)),"")</f>
        <v>678</v>
      </c>
      <c r="E79" s="98">
        <f>IFERROR(IF(LEN(VLOOKUP($B79&amp;$C79,HeadcountAndScoresTable[],IF(E$7="Count",5,IF(E$7="ACT",6,7)),0))=0,"",VLOOKUP($B79&amp;$C79,HeadcountAndScoresTable[],IF(E$7="Count",5,IF(E$7="ACT",6,7)),0)),"")</f>
        <v>21.6</v>
      </c>
      <c r="F79" s="99" t="str">
        <f>IFERROR(IF(LEN(VLOOKUP($B79&amp;$C79,HeadcountAndScoresTable[],IF(F$7="Count",5,IF(F$7="ACT",6,7)),0))=0,"",VLOOKUP($B79&amp;$C79,HeadcountAndScoresTable[],IF(F$7="Count",5,IF(F$7="ACT",6,7)),0)),"")</f>
        <v/>
      </c>
      <c r="G79" s="100">
        <f>IFERROR(IF(LEN(VLOOKUP($B79&amp;$C79&amp;$C79+MID(G$7,4,IF(COLUMN()&gt;19,2,1))-IF(LEFT(G$7,2)="to",1,0),RatesTable[],IF(LEFT(G$7,2)="in",6,7),0))=0,"",VLOOKUP($B79&amp;$C79&amp;$C79+MID(G$7,4,IF(COLUMN()&gt;19,2,1))-IF(LEFT(G$7,2)="to",1,0),RatesTable[],IF(LEFT(G$7,2)="in",6,7),0)),"")</f>
        <v>0.69299999999999995</v>
      </c>
      <c r="H79" s="71">
        <f>IFERROR(IF(LEN(VLOOKUP($B79&amp;$C79&amp;$C79+MID(H$7,4,IF(COLUMN()&gt;19,2,1))-IF(LEFT(H$7,2)="to",1,0),RatesTable[],IF(LEFT(H$7,2)="in",6,7),0))=0,"",VLOOKUP($B79&amp;$C79&amp;$C79+MID(H$7,4,IF(COLUMN()&gt;19,2,1))-IF(LEFT(H$7,2)="to",1,0),RatesTable[],IF(LEFT(H$7,2)="in",6,7),0)),"")</f>
        <v>0.54100000000000004</v>
      </c>
      <c r="I79" s="71">
        <f>IFERROR(IF(LEN(VLOOKUP($B79&amp;$C79&amp;$C79+MID(I$7,4,IF(COLUMN()&gt;19,2,1))-IF(LEFT(I$7,2)="to",1,0),RatesTable[],IF(LEFT(I$7,2)="in",6,7),0))=0,"",VLOOKUP($B79&amp;$C79&amp;$C79+MID(I$7,4,IF(COLUMN()&gt;19,2,1))-IF(LEFT(I$7,2)="to",1,0),RatesTable[],IF(LEFT(I$7,2)="in",6,7),0)),"")</f>
        <v>0.13400000000000001</v>
      </c>
      <c r="J79" s="71">
        <f>IFERROR(IF(LEN(VLOOKUP($B79&amp;$C79&amp;$C79+MID(J$7,4,IF(COLUMN()&gt;19,2,1))-IF(LEFT(J$7,2)="to",1,0),RatesTable[],IF(LEFT(J$7,2)="in",6,7),0))=0,"",VLOOKUP($B79&amp;$C79&amp;$C79+MID(J$7,4,IF(COLUMN()&gt;19,2,1))-IF(LEFT(J$7,2)="to",1,0),RatesTable[],IF(LEFT(J$7,2)="in",6,7),0)),"")</f>
        <v>0.29199999999999998</v>
      </c>
      <c r="K79" s="71">
        <f>IFERROR(IF(LEN(VLOOKUP($B79&amp;$C79&amp;$C79+MID(K$7,4,IF(COLUMN()&gt;19,2,1))-IF(LEFT(K$7,2)="to",1,0),RatesTable[],IF(LEFT(K$7,2)="in",6,7),0))=0,"",VLOOKUP($B79&amp;$C79&amp;$C79+MID(K$7,4,IF(COLUMN()&gt;19,2,1))-IF(LEFT(K$7,2)="to",1,0),RatesTable[],IF(LEFT(K$7,2)="in",6,7),0)),"")</f>
        <v>0.32</v>
      </c>
      <c r="L79" s="71">
        <f>IFERROR(IF(LEN(VLOOKUP($B79&amp;$C79&amp;$C79+MID(L$7,4,IF(COLUMN()&gt;19,2,1))-IF(LEFT(L$7,2)="to",1,0),RatesTable[],IF(LEFT(L$7,2)="in",6,7),0))=0,"",VLOOKUP($B79&amp;$C79&amp;$C79+MID(L$7,4,IF(COLUMN()&gt;19,2,1))-IF(LEFT(L$7,2)="to",1,0),RatesTable[],IF(LEFT(L$7,2)="in",6,7),0)),"")</f>
        <v>0.10199999999999999</v>
      </c>
      <c r="M79" s="69">
        <f>IFERROR(IF(LEN(VLOOKUP($B79&amp;$C79&amp;$C79+MID(M$7,4,IF(COLUMN()&gt;19,2,1))-IF(LEFT(M$7,2)="to",1,0),RatesTable[],IF(LEFT(M$7,2)="in",6,7),0))=0,"",VLOOKUP($B79&amp;$C79&amp;$C79+MID(M$7,4,IF(COLUMN()&gt;19,2,1))-IF(LEFT(M$7,2)="to",1,0),RatesTable[],IF(LEFT(M$7,2)="in",6,7),0)),"")</f>
        <v>0.379</v>
      </c>
      <c r="N79" s="69">
        <f>IFERROR(IF(LEN(VLOOKUP($B79&amp;$C79&amp;$C79+MID(N$7,4,IF(COLUMN()&gt;19,2,1))-IF(LEFT(N$7,2)="to",1,0),RatesTable[],IF(LEFT(N$7,2)="in",6,7),0))=0,"",VLOOKUP($B79&amp;$C79&amp;$C79+MID(N$7,4,IF(COLUMN()&gt;19,2,1))-IF(LEFT(N$7,2)="to",1,0),RatesTable[],IF(LEFT(N$7,2)="in",6,7),0)),"")</f>
        <v>0.04</v>
      </c>
      <c r="O79" s="69">
        <f>IFERROR(IF(LEN(VLOOKUP($B79&amp;$C79&amp;$C79+MID(O$7,4,IF(COLUMN()&gt;19,2,1))-IF(LEFT(O$7,2)="to",1,0),RatesTable[],IF(LEFT(O$7,2)="in",6,7),0))=0,"",VLOOKUP($B79&amp;$C79&amp;$C79+MID(O$7,4,IF(COLUMN()&gt;19,2,1))-IF(LEFT(O$7,2)="to",1,0),RatesTable[],IF(LEFT(O$7,2)="in",6,7),0)),"")</f>
        <v>0.4</v>
      </c>
      <c r="P79" s="69">
        <f>IFERROR(IF(LEN(VLOOKUP($B79&amp;$C79&amp;$C79+MID(P$7,4,IF(COLUMN()&gt;19,2,1))-IF(LEFT(P$7,2)="to",1,0),RatesTable[],IF(LEFT(P$7,2)="in",6,7),0))=0,"",VLOOKUP($B79&amp;$C79&amp;$C79+MID(P$7,4,IF(COLUMN()&gt;19,2,1))-IF(LEFT(P$7,2)="to",1,0),RatesTable[],IF(LEFT(P$7,2)="in",6,7),0)),"")</f>
        <v>2.4E-2</v>
      </c>
      <c r="Q79" s="64">
        <f>IFERROR(IF(LEN(VLOOKUP($B79&amp;$C79&amp;$C79+MID(Q$7,4,IF(COLUMN()&gt;19,2,1))-IF(LEFT(Q$7,2)="to",1,0),RatesTable[],IF(LEFT(Q$7,2)="in",6,7),0))=0,"",VLOOKUP($B79&amp;$C79&amp;$C79+MID(Q$7,4,IF(COLUMN()&gt;19,2,1))-IF(LEFT(Q$7,2)="to",1,0),RatesTable[],IF(LEFT(Q$7,2)="in",6,7),0)),"")</f>
        <v>0.41</v>
      </c>
      <c r="R79" s="64">
        <f>IFERROR(IF(LEN(VLOOKUP($B79&amp;$C79&amp;$C79+MID(R$7,4,IF(COLUMN()&gt;19,2,1))-IF(LEFT(R$7,2)="to",1,0),RatesTable[],IF(LEFT(R$7,2)="in",6,7),0))=0,"",VLOOKUP($B79&amp;$C79&amp;$C79+MID(R$7,4,IF(COLUMN()&gt;19,2,1))-IF(LEFT(R$7,2)="to",1,0),RatesTable[],IF(LEFT(R$7,2)="in",6,7),0)),"")</f>
        <v>1.7999999999999999E-2</v>
      </c>
      <c r="S79" s="71">
        <f>279/678</f>
        <v>0.41150442477876104</v>
      </c>
      <c r="T79" s="71">
        <f>8/678</f>
        <v>1.1799410029498525E-2</v>
      </c>
      <c r="V79" s="123"/>
      <c r="W79" s="16"/>
      <c r="X79" s="139"/>
      <c r="Y79" s="16"/>
    </row>
    <row r="80" spans="1:25" ht="15" customHeight="1" x14ac:dyDescent="0.2">
      <c r="A80" s="141" t="str">
        <f t="shared" si="1"/>
        <v>0053</v>
      </c>
      <c r="B80" s="101" t="s">
        <v>60</v>
      </c>
      <c r="C80" s="102">
        <v>2006</v>
      </c>
      <c r="D80" s="99">
        <f>IFERROR(IF(LEN(VLOOKUP($B80&amp;$C80,HeadcountAndScoresTable[],IF(D$7="Count",5,IF(D$7="ACT",6,7)),0))=0,"",VLOOKUP($B80&amp;$C80,HeadcountAndScoresTable[],IF(D$7="Count",5,IF(D$7="ACT",6,7)),0)),"")</f>
        <v>622</v>
      </c>
      <c r="E80" s="98">
        <f>IFERROR(IF(LEN(VLOOKUP($B80&amp;$C80,HeadcountAndScoresTable[],IF(E$7="Count",5,IF(E$7="ACT",6,7)),0))=0,"",VLOOKUP($B80&amp;$C80,HeadcountAndScoresTable[],IF(E$7="Count",5,IF(E$7="ACT",6,7)),0)),"")</f>
        <v>21.8</v>
      </c>
      <c r="F80" s="99" t="str">
        <f>IFERROR(IF(LEN(VLOOKUP($B80&amp;$C80,HeadcountAndScoresTable[],IF(F$7="Count",5,IF(F$7="ACT",6,7)),0))=0,"",VLOOKUP($B80&amp;$C80,HeadcountAndScoresTable[],IF(F$7="Count",5,IF(F$7="ACT",6,7)),0)),"")</f>
        <v/>
      </c>
      <c r="G80" s="100">
        <f>IFERROR(IF(LEN(VLOOKUP($B80&amp;$C80&amp;$C80+MID(G$7,4,IF(COLUMN()&gt;19,2,1))-IF(LEFT(G$7,2)="to",1,0),RatesTable[],IF(LEFT(G$7,2)="in",6,7),0))=0,"",VLOOKUP($B80&amp;$C80&amp;$C80+MID(G$7,4,IF(COLUMN()&gt;19,2,1))-IF(LEFT(G$7,2)="to",1,0),RatesTable[],IF(LEFT(G$7,2)="in",6,7),0)),"")</f>
        <v>0.71099999999999997</v>
      </c>
      <c r="H80" s="71">
        <f>IFERROR(IF(LEN(VLOOKUP($B80&amp;$C80&amp;$C80+MID(H$7,4,IF(COLUMN()&gt;19,2,1))-IF(LEFT(H$7,2)="to",1,0),RatesTable[],IF(LEFT(H$7,2)="in",6,7),0))=0,"",VLOOKUP($B80&amp;$C80&amp;$C80+MID(H$7,4,IF(COLUMN()&gt;19,2,1))-IF(LEFT(H$7,2)="to",1,0),RatesTable[],IF(LEFT(H$7,2)="in",6,7),0)),"")</f>
        <v>0.55500000000000005</v>
      </c>
      <c r="I80" s="71">
        <f>IFERROR(IF(LEN(VLOOKUP($B80&amp;$C80&amp;$C80+MID(I$7,4,IF(COLUMN()&gt;19,2,1))-IF(LEFT(I$7,2)="to",1,0),RatesTable[],IF(LEFT(I$7,2)="in",6,7),0))=0,"",VLOOKUP($B80&amp;$C80&amp;$C80+MID(I$7,4,IF(COLUMN()&gt;19,2,1))-IF(LEFT(I$7,2)="to",1,0),RatesTable[],IF(LEFT(I$7,2)="in",6,7),0)),"")</f>
        <v>0.14299999999999999</v>
      </c>
      <c r="J80" s="71">
        <f>IFERROR(IF(LEN(VLOOKUP($B80&amp;$C80&amp;$C80+MID(J$7,4,IF(COLUMN()&gt;19,2,1))-IF(LEFT(J$7,2)="to",1,0),RatesTable[],IF(LEFT(J$7,2)="in",6,7),0))=0,"",VLOOKUP($B80&amp;$C80&amp;$C80+MID(J$7,4,IF(COLUMN()&gt;19,2,1))-IF(LEFT(J$7,2)="to",1,0),RatesTable[],IF(LEFT(J$7,2)="in",6,7),0)),"")</f>
        <v>0.29599999999999999</v>
      </c>
      <c r="K80" s="71">
        <f>IFERROR(IF(LEN(VLOOKUP($B80&amp;$C80&amp;$C80+MID(K$7,4,IF(COLUMN()&gt;19,2,1))-IF(LEFT(K$7,2)="to",1,0),RatesTable[],IF(LEFT(K$7,2)="in",6,7),0))=0,"",VLOOKUP($B80&amp;$C80&amp;$C80+MID(K$7,4,IF(COLUMN()&gt;19,2,1))-IF(LEFT(K$7,2)="to",1,0),RatesTable[],IF(LEFT(K$7,2)="in",6,7),0)),"")</f>
        <v>0.33400000000000002</v>
      </c>
      <c r="L80" s="71">
        <f>IFERROR(IF(LEN(VLOOKUP($B80&amp;$C80&amp;$C80+MID(L$7,4,IF(COLUMN()&gt;19,2,1))-IF(LEFT(L$7,2)="to",1,0),RatesTable[],IF(LEFT(L$7,2)="in",6,7),0))=0,"",VLOOKUP($B80&amp;$C80&amp;$C80+MID(L$7,4,IF(COLUMN()&gt;19,2,1))-IF(LEFT(L$7,2)="to",1,0),RatesTable[],IF(LEFT(L$7,2)="in",6,7),0)),"")</f>
        <v>9.6000000000000002E-2</v>
      </c>
      <c r="M80" s="71">
        <f>IFERROR(IF(LEN(VLOOKUP($B80&amp;$C80&amp;$C80+MID(M$7,4,IF(COLUMN()&gt;19,2,1))-IF(LEFT(M$7,2)="to",1,0),RatesTable[],IF(LEFT(M$7,2)="in",6,7),0))=0,"",VLOOKUP($B80&amp;$C80&amp;$C80+MID(M$7,4,IF(COLUMN()&gt;19,2,1))-IF(LEFT(M$7,2)="to",1,0),RatesTable[],IF(LEFT(M$7,2)="in",6,7),0)),"")</f>
        <v>0.38900000000000001</v>
      </c>
      <c r="N80" s="71">
        <f>IFERROR(IF(LEN(VLOOKUP($B80&amp;$C80&amp;$C80+MID(N$7,4,IF(COLUMN()&gt;19,2,1))-IF(LEFT(N$7,2)="to",1,0),RatesTable[],IF(LEFT(N$7,2)="in",6,7),0))=0,"",VLOOKUP($B80&amp;$C80&amp;$C80+MID(N$7,4,IF(COLUMN()&gt;19,2,1))-IF(LEFT(N$7,2)="to",1,0),RatesTable[],IF(LEFT(N$7,2)="in",6,7),0)),"")</f>
        <v>2.9000000000000001E-2</v>
      </c>
      <c r="O80" s="69">
        <f>IFERROR(IF(LEN(VLOOKUP($B80&amp;$C80&amp;$C80+MID(O$7,4,IF(COLUMN()&gt;19,2,1))-IF(LEFT(O$7,2)="to",1,0),RatesTable[],IF(LEFT(O$7,2)="in",6,7),0))=0,"",VLOOKUP($B80&amp;$C80&amp;$C80+MID(O$7,4,IF(COLUMN()&gt;19,2,1))-IF(LEFT(O$7,2)="to",1,0),RatesTable[],IF(LEFT(O$7,2)="in",6,7),0)),"")</f>
        <v>0.42</v>
      </c>
      <c r="P80" s="69">
        <f>IFERROR(IF(LEN(VLOOKUP($B80&amp;$C80&amp;$C80+MID(P$7,4,IF(COLUMN()&gt;19,2,1))-IF(LEFT(P$7,2)="to",1,0),RatesTable[],IF(LEFT(P$7,2)="in",6,7),0))=0,"",VLOOKUP($B80&amp;$C80&amp;$C80+MID(P$7,4,IF(COLUMN()&gt;19,2,1))-IF(LEFT(P$7,2)="to",1,0),RatesTable[],IF(LEFT(P$7,2)="in",6,7),0)),"")</f>
        <v>1.4999999999999999E-2</v>
      </c>
      <c r="Q80" s="71">
        <f>267/622</f>
        <v>0.42926045016077169</v>
      </c>
      <c r="R80" s="71">
        <f>14/622</f>
        <v>2.2508038585209004E-2</v>
      </c>
      <c r="V80" s="123"/>
      <c r="W80" s="16"/>
      <c r="X80" s="139"/>
      <c r="Y80" s="16"/>
    </row>
    <row r="81" spans="1:25" ht="15" customHeight="1" x14ac:dyDescent="0.2">
      <c r="A81" s="141" t="str">
        <f t="shared" si="1"/>
        <v>0053</v>
      </c>
      <c r="B81" s="101" t="s">
        <v>60</v>
      </c>
      <c r="C81" s="102">
        <v>2007</v>
      </c>
      <c r="D81" s="99">
        <f>IFERROR(IF(LEN(VLOOKUP($B81&amp;$C81,HeadcountAndScoresTable[],IF(D$7="Count",5,IF(D$7="ACT",6,7)),0))=0,"",VLOOKUP($B81&amp;$C81,HeadcountAndScoresTable[],IF(D$7="Count",5,IF(D$7="ACT",6,7)),0)),"")</f>
        <v>654</v>
      </c>
      <c r="E81" s="98">
        <f>IFERROR(IF(LEN(VLOOKUP($B81&amp;$C81,HeadcountAndScoresTable[],IF(E$7="Count",5,IF(E$7="ACT",6,7)),0))=0,"",VLOOKUP($B81&amp;$C81,HeadcountAndScoresTable[],IF(E$7="Count",5,IF(E$7="ACT",6,7)),0)),"")</f>
        <v>21.7</v>
      </c>
      <c r="F81" s="99" t="str">
        <f>IFERROR(IF(LEN(VLOOKUP($B81&amp;$C81,HeadcountAndScoresTable[],IF(F$7="Count",5,IF(F$7="ACT",6,7)),0))=0,"",VLOOKUP($B81&amp;$C81,HeadcountAndScoresTable[],IF(F$7="Count",5,IF(F$7="ACT",6,7)),0)),"")</f>
        <v/>
      </c>
      <c r="G81" s="100">
        <f>IFERROR(IF(LEN(VLOOKUP($B81&amp;$C81&amp;$C81+MID(G$7,4,IF(COLUMN()&gt;19,2,1))-IF(LEFT(G$7,2)="to",1,0),RatesTable[],IF(LEFT(G$7,2)="in",6,7),0))=0,"",VLOOKUP($B81&amp;$C81&amp;$C81+MID(G$7,4,IF(COLUMN()&gt;19,2,1))-IF(LEFT(G$7,2)="to",1,0),RatesTable[],IF(LEFT(G$7,2)="in",6,7),0)),"")</f>
        <v>0.66200000000000003</v>
      </c>
      <c r="H81" s="71">
        <f>IFERROR(IF(LEN(VLOOKUP($B81&amp;$C81&amp;$C81+MID(H$7,4,IF(COLUMN()&gt;19,2,1))-IF(LEFT(H$7,2)="to",1,0),RatesTable[],IF(LEFT(H$7,2)="in",6,7),0))=0,"",VLOOKUP($B81&amp;$C81&amp;$C81+MID(H$7,4,IF(COLUMN()&gt;19,2,1))-IF(LEFT(H$7,2)="to",1,0),RatesTable[],IF(LEFT(H$7,2)="in",6,7),0)),"")</f>
        <v>0.55200000000000005</v>
      </c>
      <c r="I81" s="71">
        <f>IFERROR(IF(LEN(VLOOKUP($B81&amp;$C81&amp;$C81+MID(I$7,4,IF(COLUMN()&gt;19,2,1))-IF(LEFT(I$7,2)="to",1,0),RatesTable[],IF(LEFT(I$7,2)="in",6,7),0))=0,"",VLOOKUP($B81&amp;$C81&amp;$C81+MID(I$7,4,IF(COLUMN()&gt;19,2,1))-IF(LEFT(I$7,2)="to",1,0),RatesTable[],IF(LEFT(I$7,2)="in",6,7),0)),"")</f>
        <v>0.14499999999999999</v>
      </c>
      <c r="J81" s="71">
        <f>IFERROR(IF(LEN(VLOOKUP($B81&amp;$C81&amp;$C81+MID(J$7,4,IF(COLUMN()&gt;19,2,1))-IF(LEFT(J$7,2)="to",1,0),RatesTable[],IF(LEFT(J$7,2)="in",6,7),0))=0,"",VLOOKUP($B81&amp;$C81&amp;$C81+MID(J$7,4,IF(COLUMN()&gt;19,2,1))-IF(LEFT(J$7,2)="to",1,0),RatesTable[],IF(LEFT(J$7,2)="in",6,7),0)),"")</f>
        <v>0.27700000000000002</v>
      </c>
      <c r="K81" s="71">
        <f>IFERROR(IF(LEN(VLOOKUP($B81&amp;$C81&amp;$C81+MID(K$7,4,IF(COLUMN()&gt;19,2,1))-IF(LEFT(K$7,2)="to",1,0),RatesTable[],IF(LEFT(K$7,2)="in",6,7),0))=0,"",VLOOKUP($B81&amp;$C81&amp;$C81+MID(K$7,4,IF(COLUMN()&gt;19,2,1))-IF(LEFT(K$7,2)="to",1,0),RatesTable[],IF(LEFT(K$7,2)="in",6,7),0)),"")</f>
        <v>0.32</v>
      </c>
      <c r="L81" s="71">
        <f>IFERROR(IF(LEN(VLOOKUP($B81&amp;$C81&amp;$C81+MID(L$7,4,IF(COLUMN()&gt;19,2,1))-IF(LEFT(L$7,2)="to",1,0),RatesTable[],IF(LEFT(L$7,2)="in",6,7),0))=0,"",VLOOKUP($B81&amp;$C81&amp;$C81+MID(L$7,4,IF(COLUMN()&gt;19,2,1))-IF(LEFT(L$7,2)="to",1,0),RatesTable[],IF(LEFT(L$7,2)="in",6,7),0)),"")</f>
        <v>7.5999999999999998E-2</v>
      </c>
      <c r="M81" s="69">
        <f>IFERROR(IF(LEN(VLOOKUP($B81&amp;$C81&amp;$C81+MID(M$7,4,IF(COLUMN()&gt;19,2,1))-IF(LEFT(M$7,2)="to",1,0),RatesTable[],IF(LEFT(M$7,2)="in",6,7),0))=0,"",VLOOKUP($B81&amp;$C81&amp;$C81+MID(M$7,4,IF(COLUMN()&gt;19,2,1))-IF(LEFT(M$7,2)="to",1,0),RatesTable[],IF(LEFT(M$7,2)="in",6,7),0)),"")</f>
        <v>0.38100000000000001</v>
      </c>
      <c r="N81" s="69">
        <f>IFERROR(IF(LEN(VLOOKUP($B81&amp;$C81&amp;$C81+MID(N$7,4,IF(COLUMN()&gt;19,2,1))-IF(LEFT(N$7,2)="to",1,0),RatesTable[],IF(LEFT(N$7,2)="in",6,7),0))=0,"",VLOOKUP($B81&amp;$C81&amp;$C81+MID(N$7,4,IF(COLUMN()&gt;19,2,1))-IF(LEFT(N$7,2)="to",1,0),RatesTable[],IF(LEFT(N$7,2)="in",6,7),0)),"")</f>
        <v>4.9000000000000002E-2</v>
      </c>
      <c r="O81" s="71">
        <f>263/654</f>
        <v>0.40214067278287463</v>
      </c>
      <c r="P81" s="71">
        <f>17/654</f>
        <v>2.5993883792048929E-2</v>
      </c>
      <c r="V81" s="123"/>
      <c r="W81" s="16"/>
      <c r="X81" s="139"/>
      <c r="Y81" s="16"/>
    </row>
    <row r="82" spans="1:25" ht="15" customHeight="1" x14ac:dyDescent="0.2">
      <c r="A82" s="141" t="str">
        <f t="shared" si="1"/>
        <v>0053</v>
      </c>
      <c r="B82" s="101" t="s">
        <v>60</v>
      </c>
      <c r="C82" s="102">
        <v>2008</v>
      </c>
      <c r="D82" s="99">
        <f>IFERROR(IF(LEN(VLOOKUP($B82&amp;$C82,HeadcountAndScoresTable[],IF(D$7="Count",5,IF(D$7="ACT",6,7)),0))=0,"",VLOOKUP($B82&amp;$C82,HeadcountAndScoresTable[],IF(D$7="Count",5,IF(D$7="ACT",6,7)),0)),"")</f>
        <v>639</v>
      </c>
      <c r="E82" s="98">
        <f>IFERROR(IF(LEN(VLOOKUP($B82&amp;$C82,HeadcountAndScoresTable[],IF(E$7="Count",5,IF(E$7="ACT",6,7)),0))=0,"",VLOOKUP($B82&amp;$C82,HeadcountAndScoresTable[],IF(E$7="Count",5,IF(E$7="ACT",6,7)),0)),"")</f>
        <v>21.9</v>
      </c>
      <c r="F82" s="99" t="str">
        <f>IFERROR(IF(LEN(VLOOKUP($B82&amp;$C82,HeadcountAndScoresTable[],IF(F$7="Count",5,IF(F$7="ACT",6,7)),0))=0,"",VLOOKUP($B82&amp;$C82,HeadcountAndScoresTable[],IF(F$7="Count",5,IF(F$7="ACT",6,7)),0)),"")</f>
        <v/>
      </c>
      <c r="G82" s="100">
        <f>IFERROR(IF(LEN(VLOOKUP($B82&amp;$C82&amp;$C82+MID(G$7,4,IF(COLUMN()&gt;19,2,1))-IF(LEFT(G$7,2)="to",1,0),RatesTable[],IF(LEFT(G$7,2)="in",6,7),0))=0,"",VLOOKUP($B82&amp;$C82&amp;$C82+MID(G$7,4,IF(COLUMN()&gt;19,2,1))-IF(LEFT(G$7,2)="to",1,0),RatesTable[],IF(LEFT(G$7,2)="in",6,7),0)),"")</f>
        <v>0.84199999999999997</v>
      </c>
      <c r="H82" s="71">
        <f>IFERROR(IF(LEN(VLOOKUP($B82&amp;$C82&amp;$C82+MID(H$7,4,IF(COLUMN()&gt;19,2,1))-IF(LEFT(H$7,2)="to",1,0),RatesTable[],IF(LEFT(H$7,2)="in",6,7),0))=0,"",VLOOKUP($B82&amp;$C82&amp;$C82+MID(H$7,4,IF(COLUMN()&gt;19,2,1))-IF(LEFT(H$7,2)="to",1,0),RatesTable[],IF(LEFT(H$7,2)="in",6,7),0)),"")</f>
        <v>0.68899999999999995</v>
      </c>
      <c r="I82" s="71">
        <f>IFERROR(IF(LEN(VLOOKUP($B82&amp;$C82&amp;$C82+MID(I$7,4,IF(COLUMN()&gt;19,2,1))-IF(LEFT(I$7,2)="to",1,0),RatesTable[],IF(LEFT(I$7,2)="in",6,7),0))=0,"",VLOOKUP($B82&amp;$C82&amp;$C82+MID(I$7,4,IF(COLUMN()&gt;19,2,1))-IF(LEFT(I$7,2)="to",1,0),RatesTable[],IF(LEFT(I$7,2)="in",6,7),0)),"")</f>
        <v>0.152</v>
      </c>
      <c r="J82" s="71">
        <f>IFERROR(IF(LEN(VLOOKUP($B82&amp;$C82&amp;$C82+MID(J$7,4,IF(COLUMN()&gt;19,2,1))-IF(LEFT(J$7,2)="to",1,0),RatesTable[],IF(LEFT(J$7,2)="in",6,7),0))=0,"",VLOOKUP($B82&amp;$C82&amp;$C82+MID(J$7,4,IF(COLUMN()&gt;19,2,1))-IF(LEFT(J$7,2)="to",1,0),RatesTable[],IF(LEFT(J$7,2)="in",6,7),0)),"")</f>
        <v>0.38700000000000001</v>
      </c>
      <c r="K82" s="69">
        <f>IFERROR(IF(LEN(VLOOKUP($B82&amp;$C82&amp;$C82+MID(K$7,4,IF(COLUMN()&gt;19,2,1))-IF(LEFT(K$7,2)="to",1,0),RatesTable[],IF(LEFT(K$7,2)="in",6,7),0))=0,"",VLOOKUP($B82&amp;$C82&amp;$C82+MID(K$7,4,IF(COLUMN()&gt;19,2,1))-IF(LEFT(K$7,2)="to",1,0),RatesTable[],IF(LEFT(K$7,2)="in",6,7),0)),"")</f>
        <v>0.39400000000000002</v>
      </c>
      <c r="L82" s="69">
        <f>IFERROR(IF(LEN(VLOOKUP($B82&amp;$C82&amp;$C82+MID(L$7,4,IF(COLUMN()&gt;19,2,1))-IF(LEFT(L$7,2)="to",1,0),RatesTable[],IF(LEFT(L$7,2)="in",6,7),0))=0,"",VLOOKUP($B82&amp;$C82&amp;$C82+MID(L$7,4,IF(COLUMN()&gt;19,2,1))-IF(LEFT(L$7,2)="to",1,0),RatesTable[],IF(LEFT(L$7,2)="in",6,7),0)),"")</f>
        <v>0.13600000000000001</v>
      </c>
      <c r="M82" s="71">
        <f>306/639</f>
        <v>0.47887323943661969</v>
      </c>
      <c r="N82" s="71">
        <f>42/639</f>
        <v>6.5727699530516437E-2</v>
      </c>
      <c r="O82" s="85"/>
      <c r="P82" s="85"/>
      <c r="V82" s="123"/>
      <c r="W82" s="16"/>
      <c r="X82" s="139"/>
      <c r="Y82" s="16"/>
    </row>
    <row r="83" spans="1:25" ht="15" customHeight="1" x14ac:dyDescent="0.2">
      <c r="A83" s="141" t="str">
        <f t="shared" si="1"/>
        <v>0053</v>
      </c>
      <c r="B83" s="101" t="s">
        <v>60</v>
      </c>
      <c r="C83" s="102">
        <v>2009</v>
      </c>
      <c r="D83" s="99">
        <f>IFERROR(IF(LEN(VLOOKUP($B83&amp;$C83,HeadcountAndScoresTable[],IF(D$7="Count",5,IF(D$7="ACT",6,7)),0))=0,"",VLOOKUP($B83&amp;$C83,HeadcountAndScoresTable[],IF(D$7="Count",5,IF(D$7="ACT",6,7)),0)),"")</f>
        <v>775</v>
      </c>
      <c r="E83" s="98">
        <f>IFERROR(IF(LEN(VLOOKUP($B83&amp;$C83,HeadcountAndScoresTable[],IF(E$7="Count",5,IF(E$7="ACT",6,7)),0))=0,"",VLOOKUP($B83&amp;$C83,HeadcountAndScoresTable[],IF(E$7="Count",5,IF(E$7="ACT",6,7)),0)),"")</f>
        <v>22</v>
      </c>
      <c r="F83" s="99" t="str">
        <f>IFERROR(IF(LEN(VLOOKUP($B83&amp;$C83,HeadcountAndScoresTable[],IF(F$7="Count",5,IF(F$7="ACT",6,7)),0))=0,"",VLOOKUP($B83&amp;$C83,HeadcountAndScoresTable[],IF(F$7="Count",5,IF(F$7="ACT",6,7)),0)),"")</f>
        <v/>
      </c>
      <c r="G83" s="100">
        <f>IFERROR(IF(LEN(VLOOKUP($B83&amp;$C83&amp;$C83+MID(G$7,4,IF(COLUMN()&gt;19,2,1))-IF(LEFT(G$7,2)="to",1,0),RatesTable[],IF(LEFT(G$7,2)="in",6,7),0))=0,"",VLOOKUP($B83&amp;$C83&amp;$C83+MID(G$7,4,IF(COLUMN()&gt;19,2,1))-IF(LEFT(G$7,2)="to",1,0),RatesTable[],IF(LEFT(G$7,2)="in",6,7),0)),"")</f>
        <v>0.68799999999999994</v>
      </c>
      <c r="H83" s="71">
        <f>IFERROR(IF(LEN(VLOOKUP($B83&amp;$C83&amp;$C83+MID(H$7,4,IF(COLUMN()&gt;19,2,1))-IF(LEFT(H$7,2)="to",1,0),RatesTable[],IF(LEFT(H$7,2)="in",6,7),0))=0,"",VLOOKUP($B83&amp;$C83&amp;$C83+MID(H$7,4,IF(COLUMN()&gt;19,2,1))-IF(LEFT(H$7,2)="to",1,0),RatesTable[],IF(LEFT(H$7,2)="in",6,7),0)),"")</f>
        <v>0.55600000000000005</v>
      </c>
      <c r="I83" s="69">
        <f>IFERROR(IF(LEN(VLOOKUP($B83&amp;$C83&amp;$C83+MID(I$7,4,IF(COLUMN()&gt;19,2,1))-IF(LEFT(I$7,2)="to",1,0),RatesTable[],IF(LEFT(I$7,2)="in",6,7),0))=0,"",VLOOKUP($B83&amp;$C83&amp;$C83+MID(I$7,4,IF(COLUMN()&gt;19,2,1))-IF(LEFT(I$7,2)="to",1,0),RatesTable[],IF(LEFT(I$7,2)="in",6,7),0)),"")</f>
        <v>0.13600000000000001</v>
      </c>
      <c r="J83" s="63">
        <f>IFERROR(IF(LEN(VLOOKUP($B83&amp;$C83&amp;$C83+MID(J$7,4,IF(COLUMN()&gt;19,2,1))-IF(LEFT(J$7,2)="to",1,0),RatesTable[],IF(LEFT(J$7,2)="in",6,7),0))=0,"",VLOOKUP($B83&amp;$C83&amp;$C83+MID(J$7,4,IF(COLUMN()&gt;19,2,1))-IF(LEFT(J$7,2)="to",1,0),RatesTable[],IF(LEFT(J$7,2)="in",6,7),0)),"")</f>
        <v>0.32500000000000001</v>
      </c>
      <c r="K83" s="71">
        <f>272/775</f>
        <v>0.35096774193548386</v>
      </c>
      <c r="L83" s="71">
        <f>74/775</f>
        <v>9.5483870967741941E-2</v>
      </c>
      <c r="M83" s="88"/>
      <c r="N83" s="88"/>
      <c r="O83" s="86"/>
      <c r="P83" s="86"/>
      <c r="Q83" s="87"/>
      <c r="R83" s="87"/>
      <c r="V83" s="123"/>
      <c r="W83" s="16"/>
      <c r="X83" s="139"/>
      <c r="Y83" s="16"/>
    </row>
    <row r="84" spans="1:25" ht="15" customHeight="1" x14ac:dyDescent="0.2">
      <c r="A84" s="141" t="str">
        <f t="shared" si="1"/>
        <v>0053</v>
      </c>
      <c r="B84" s="101" t="s">
        <v>60</v>
      </c>
      <c r="C84" s="102">
        <v>2010</v>
      </c>
      <c r="D84" s="58">
        <f>IFERROR(IF(LEN(VLOOKUP($B84&amp;$C84,HeadcountAndScoresTable[],IF(D$7="Count",5,IF(D$7="ACT",6,7)),0))=0,"",VLOOKUP($B84&amp;$C84,HeadcountAndScoresTable[],IF(D$7="Count",5,IF(D$7="ACT",6,7)),0)),"")</f>
        <v>744</v>
      </c>
      <c r="E84" s="98">
        <f>IFERROR(IF(LEN(VLOOKUP($B84&amp;$C84,HeadcountAndScoresTable[],IF(E$7="Count",5,IF(E$7="ACT",6,7)),0))=0,"",VLOOKUP($B84&amp;$C84,HeadcountAndScoresTable[],IF(E$7="Count",5,IF(E$7="ACT",6,7)),0)),"")</f>
        <v>22.4</v>
      </c>
      <c r="F84" s="99" t="str">
        <f>IFERROR(IF(LEN(VLOOKUP($B84&amp;$C84,HeadcountAndScoresTable[],IF(F$7="Count",5,IF(F$7="ACT",6,7)),0))=0,"",VLOOKUP($B84&amp;$C84,HeadcountAndScoresTable[],IF(F$7="Count",5,IF(F$7="ACT",6,7)),0)),"")</f>
        <v/>
      </c>
      <c r="G84" s="61">
        <f>IFERROR(IF(LEN(VLOOKUP($B84&amp;$C84&amp;$C84+MID(G$7,4,IF(COLUMN()&gt;19,2,1))-IF(LEFT(G$7,2)="to",1,0),RatesTable[],IF(LEFT(G$7,2)="in",6,7),0))=0,"",VLOOKUP($B84&amp;$C84&amp;$C84+MID(G$7,4,IF(COLUMN()&gt;19,2,1))-IF(LEFT(G$7,2)="to",1,0),RatesTable[],IF(LEFT(G$7,2)="in",6,7),0)),"")</f>
        <v>0.73399999999999999</v>
      </c>
      <c r="H84" s="70">
        <f>IFERROR(IF(LEN(VLOOKUP($B84&amp;$C84&amp;$C84+MID(H$7,4,IF(COLUMN()&gt;19,2,1))-IF(LEFT(H$7,2)="to",1,0),RatesTable[],IF(LEFT(H$7,2)="in",6,7),0))=0,"",VLOOKUP($B84&amp;$C84&amp;$C84+MID(H$7,4,IF(COLUMN()&gt;19,2,1))-IF(LEFT(H$7,2)="to",1,0),RatesTable[],IF(LEFT(H$7,2)="in",6,7),0)),"")</f>
        <v>0.60099999999999998</v>
      </c>
      <c r="I84" s="71">
        <f>139/744</f>
        <v>0.18682795698924731</v>
      </c>
      <c r="J84" s="71">
        <f>233/744</f>
        <v>0.31317204301075269</v>
      </c>
      <c r="K84" s="88"/>
      <c r="L84" s="88"/>
      <c r="M84" s="88"/>
      <c r="N84" s="88"/>
      <c r="O84" s="86"/>
      <c r="P84" s="86"/>
      <c r="Q84" s="87"/>
      <c r="R84" s="87"/>
      <c r="V84" s="123"/>
      <c r="W84" s="16"/>
      <c r="X84" s="139"/>
      <c r="Y84" s="16"/>
    </row>
    <row r="85" spans="1:25" ht="15" customHeight="1" x14ac:dyDescent="0.2">
      <c r="A85" s="141" t="str">
        <f t="shared" si="1"/>
        <v>0053</v>
      </c>
      <c r="B85" s="101" t="s">
        <v>60</v>
      </c>
      <c r="C85" s="102">
        <v>2011</v>
      </c>
      <c r="D85" s="58">
        <f>IFERROR(IF(LEN(VLOOKUP($B85&amp;$C85,HeadcountAndScoresTable[],IF(D$7="Count",5,IF(D$7="ACT",6,7)),0))=0,"",VLOOKUP($B85&amp;$C85,HeadcountAndScoresTable[],IF(D$7="Count",5,IF(D$7="ACT",6,7)),0)),"")</f>
        <v>665</v>
      </c>
      <c r="E85" s="98">
        <f>IFERROR(IF(LEN(VLOOKUP($B85&amp;$C85,HeadcountAndScoresTable[],IF(E$7="Count",5,IF(E$7="ACT",6,7)),0))=0,"",VLOOKUP($B85&amp;$C85,HeadcountAndScoresTable[],IF(E$7="Count",5,IF(E$7="ACT",6,7)),0)),"")</f>
        <v>22.4</v>
      </c>
      <c r="F85" s="99" t="str">
        <f>IFERROR(IF(LEN(VLOOKUP($B85&amp;$C85,HeadcountAndScoresTable[],IF(F$7="Count",5,IF(F$7="ACT",6,7)),0))=0,"",VLOOKUP($B85&amp;$C85,HeadcountAndScoresTable[],IF(F$7="Count",5,IF(F$7="ACT",6,7)),0)),"")</f>
        <v/>
      </c>
      <c r="G85" s="61">
        <f>IFERROR(IF(LEN(VLOOKUP($B85&amp;$C85&amp;$C85+MID(G$7,4,IF(COLUMN()&gt;19,2,1))-IF(LEFT(G$7,2)="to",1,0),RatesTable[],IF(LEFT(G$7,2)="in",6,7),0))=0,"",VLOOKUP($B85&amp;$C85&amp;$C85+MID(G$7,4,IF(COLUMN()&gt;19,2,1))-IF(LEFT(G$7,2)="to",1,0),RatesTable[],IF(LEFT(G$7,2)="in",6,7),0)),"")</f>
        <v>0.71599999999999997</v>
      </c>
      <c r="H85" s="71">
        <f>IFERROR(IF(LEN(VLOOKUP($B85&amp;$C85&amp;$C85+MID(H$7,4,IF(COLUMN()&gt;19,2,1))-IF(LEFT(H$7,2)="to",1,0),RatesTable[],IF(LEFT(H$7,2)="in",6,7),0))=0,"",VLOOKUP($B85&amp;$C85&amp;$C85+MID(H$7,4,IF(COLUMN()&gt;19,2,1))-IF(LEFT(H$7,2)="to",1,0),RatesTable[],IF(LEFT(H$7,2)="in",6,7),0)),"")</f>
        <v>0.59399999999999997</v>
      </c>
      <c r="I85" s="88"/>
      <c r="J85" s="88"/>
      <c r="K85" s="88"/>
      <c r="L85" s="88"/>
      <c r="M85" s="88"/>
      <c r="N85" s="88"/>
      <c r="O85" s="86"/>
      <c r="P85" s="86"/>
      <c r="Q85" s="87"/>
      <c r="R85" s="87"/>
      <c r="V85" s="123"/>
      <c r="W85" s="16"/>
      <c r="X85" s="139"/>
      <c r="Y85" s="16"/>
    </row>
    <row r="86" spans="1:25" ht="15" customHeight="1" x14ac:dyDescent="0.2">
      <c r="A86" s="141" t="str">
        <f t="shared" si="1"/>
        <v>0053</v>
      </c>
      <c r="B86" s="101" t="s">
        <v>60</v>
      </c>
      <c r="C86" s="102">
        <v>2012</v>
      </c>
      <c r="D86" s="58">
        <f>IFERROR(IF(LEN(VLOOKUP($B86&amp;$C86,HeadcountAndScoresTable[],IF(D$7="Count",5,IF(D$7="ACT",6,7)),0))=0,"",VLOOKUP($B86&amp;$C86,HeadcountAndScoresTable[],IF(D$7="Count",5,IF(D$7="ACT",6,7)),0)),"")</f>
        <v>744</v>
      </c>
      <c r="E86" s="98">
        <f>IFERROR(IF(LEN(VLOOKUP($B86&amp;$C86,HeadcountAndScoresTable[],IF(E$7="Count",5,IF(E$7="ACT",6,7)),0))=0,"",VLOOKUP($B86&amp;$C86,HeadcountAndScoresTable[],IF(E$7="Count",5,IF(E$7="ACT",6,7)),0)),"")</f>
        <v>22.2</v>
      </c>
      <c r="F86" s="99" t="str">
        <f>IFERROR(IF(LEN(VLOOKUP($B86&amp;$C86,HeadcountAndScoresTable[],IF(F$7="Count",5,IF(F$7="ACT",6,7)),0))=0,"",VLOOKUP($B86&amp;$C86,HeadcountAndScoresTable[],IF(F$7="Count",5,IF(F$7="ACT",6,7)),0)),"")</f>
        <v/>
      </c>
      <c r="G86" s="61">
        <f>IFERROR(IF(LEN(VLOOKUP($B86&amp;$C86&amp;$C86+MID(G$7,4,IF(COLUMN()&gt;19,2,1))-IF(LEFT(G$7,2)="to",1,0),RatesTable[],IF(LEFT(G$7,2)="in",6,7),0))=0,"",VLOOKUP($B86&amp;$C86&amp;$C86+MID(G$7,4,IF(COLUMN()&gt;19,2,1))-IF(LEFT(G$7,2)="to",1,0),RatesTable[],IF(LEFT(G$7,2)="in",6,7),0)),"")</f>
        <v>0.73</v>
      </c>
      <c r="H86" s="71">
        <f>468/744</f>
        <v>0.62903225806451613</v>
      </c>
      <c r="I86" s="88"/>
      <c r="J86" s="88"/>
      <c r="K86" s="88"/>
      <c r="L86" s="88"/>
      <c r="M86" s="88"/>
      <c r="N86" s="88"/>
      <c r="O86" s="86"/>
      <c r="P86" s="86"/>
      <c r="Q86" s="87"/>
      <c r="R86" s="87"/>
      <c r="V86" s="123"/>
      <c r="W86" s="16"/>
      <c r="X86" s="139"/>
      <c r="Y86" s="16"/>
    </row>
    <row r="87" spans="1:25" ht="15" customHeight="1" x14ac:dyDescent="0.2">
      <c r="A87" s="141" t="str">
        <f t="shared" si="1"/>
        <v>0053</v>
      </c>
      <c r="B87" s="101" t="s">
        <v>60</v>
      </c>
      <c r="C87" s="97">
        <v>2013</v>
      </c>
      <c r="D87" s="58">
        <v>650</v>
      </c>
      <c r="E87" s="98">
        <v>22.5</v>
      </c>
      <c r="F87" s="99" t="str">
        <f>IFERROR(IF(LEN(VLOOKUP($B87&amp;$C87,HeadcountAndScoresTable[],IF(F$7="Count",5,IF(F$7="ACT",6,7)),0))=0,"",VLOOKUP($B87&amp;$C87,HeadcountAndScoresTable[],IF(F$7="Count",5,IF(F$7="ACT",6,7)),0)),"")</f>
        <v/>
      </c>
      <c r="G87" s="100">
        <f>479/650</f>
        <v>0.7369230769230769</v>
      </c>
      <c r="H87" s="88"/>
      <c r="I87" s="88"/>
      <c r="J87" s="88"/>
      <c r="K87" s="88"/>
      <c r="L87" s="88"/>
      <c r="M87" s="88"/>
      <c r="N87" s="88"/>
      <c r="O87" s="86"/>
      <c r="P87" s="86"/>
      <c r="Q87" s="87"/>
      <c r="R87" s="87"/>
      <c r="V87" s="123"/>
      <c r="W87" s="16"/>
      <c r="X87" s="139"/>
      <c r="Y87" s="16"/>
    </row>
    <row r="88" spans="1:25" ht="15" customHeight="1" x14ac:dyDescent="0.2">
      <c r="A88" s="141" t="str">
        <f t="shared" si="1"/>
        <v>0053</v>
      </c>
      <c r="B88" s="101" t="s">
        <v>142</v>
      </c>
      <c r="C88" s="102">
        <v>2004</v>
      </c>
      <c r="D88" s="60">
        <f>IFERROR(IF(LEN(VLOOKUP($B88&amp;$C88,HeadcountAndScoresTable[],IF(D$7="Count",5,IF(D$7="ACT",6,7)),0))=0,"",VLOOKUP($B88&amp;$C88,HeadcountAndScoresTable[],IF(D$7="Count",5,IF(D$7="ACT",6,7)),0)),"")</f>
        <v>40</v>
      </c>
      <c r="E88" s="98">
        <f>IFERROR(IF(LEN(VLOOKUP($B88&amp;$C88,HeadcountAndScoresTable[],IF(E$7="Count",5,IF(E$7="ACT",6,7)),0))=0,"",VLOOKUP($B88&amp;$C88,HeadcountAndScoresTable[],IF(E$7="Count",5,IF(E$7="ACT",6,7)),0)),"")</f>
        <v>17.100000000000001</v>
      </c>
      <c r="F88" s="99" t="str">
        <f>IFERROR(IF(LEN(VLOOKUP($B88&amp;$C88,HeadcountAndScoresTable[],IF(F$7="Count",5,IF(F$7="ACT",6,7)),0))=0,"",VLOOKUP($B88&amp;$C88,HeadcountAndScoresTable[],IF(F$7="Count",5,IF(F$7="ACT",6,7)),0)),"")</f>
        <v/>
      </c>
      <c r="G88" s="100">
        <f>IFERROR(IF(LEN(VLOOKUP($B88&amp;$C88&amp;$C88+MID(G$7,4,IF(COLUMN()&gt;19,2,1))-IF(LEFT(G$7,2)="to",1,0),RatesTable[],IF(LEFT(G$7,2)="in",6,7),0))=0,"",VLOOKUP($B88&amp;$C88&amp;$C88+MID(G$7,4,IF(COLUMN()&gt;19,2,1))-IF(LEFT(G$7,2)="to",1,0),RatesTable[],IF(LEFT(G$7,2)="in",6,7),0)),"")</f>
        <v>0.7</v>
      </c>
      <c r="H88" s="71">
        <f>IFERROR(IF(LEN(VLOOKUP($B88&amp;$C88&amp;$C88+MID(H$7,4,IF(COLUMN()&gt;19,2,1))-IF(LEFT(H$7,2)="to",1,0),RatesTable[],IF(LEFT(H$7,2)="in",6,7),0))=0,"",VLOOKUP($B88&amp;$C88&amp;$C88+MID(H$7,4,IF(COLUMN()&gt;19,2,1))-IF(LEFT(H$7,2)="to",1,0),RatesTable[],IF(LEFT(H$7,2)="in",6,7),0)),"")</f>
        <v>0.45</v>
      </c>
      <c r="I88" s="71">
        <f>IFERROR(IF(LEN(VLOOKUP($B88&amp;$C88&amp;$C88+MID(I$7,4,IF(COLUMN()&gt;19,2,1))-IF(LEFT(I$7,2)="to",1,0),RatesTable[],IF(LEFT(I$7,2)="in",6,7),0))=0,"",VLOOKUP($B88&amp;$C88&amp;$C88+MID(I$7,4,IF(COLUMN()&gt;19,2,1))-IF(LEFT(I$7,2)="to",1,0),RatesTable[],IF(LEFT(I$7,2)="in",6,7),0)),"")</f>
        <v>7.4999999999999997E-2</v>
      </c>
      <c r="J88" s="71">
        <f>IFERROR(IF(LEN(VLOOKUP($B88&amp;$C88&amp;$C88+MID(J$7,4,IF(COLUMN()&gt;19,2,1))-IF(LEFT(J$7,2)="to",1,0),RatesTable[],IF(LEFT(J$7,2)="in",6,7),0))=0,"",VLOOKUP($B88&amp;$C88&amp;$C88+MID(J$7,4,IF(COLUMN()&gt;19,2,1))-IF(LEFT(J$7,2)="to",1,0),RatesTable[],IF(LEFT(J$7,2)="in",6,7),0)),"")</f>
        <v>2.5000000000000001E-2</v>
      </c>
      <c r="K88" s="71">
        <f>IFERROR(IF(LEN(VLOOKUP($B88&amp;$C88&amp;$C88+MID(K$7,4,IF(COLUMN()&gt;19,2,1))-IF(LEFT(K$7,2)="to",1,0),RatesTable[],IF(LEFT(K$7,2)="in",6,7),0))=0,"",VLOOKUP($B88&amp;$C88&amp;$C88+MID(K$7,4,IF(COLUMN()&gt;19,2,1))-IF(LEFT(K$7,2)="to",1,0),RatesTable[],IF(LEFT(K$7,2)="in",6,7),0)),"")</f>
        <v>0.1</v>
      </c>
      <c r="L88" s="71">
        <f>IFERROR(IF(LEN(VLOOKUP($B88&amp;$C88&amp;$C88+MID(L$7,4,IF(COLUMN()&gt;19,2,1))-IF(LEFT(L$7,2)="to",1,0),RatesTable[],IF(LEFT(L$7,2)="in",6,7),0))=0,"",VLOOKUP($B88&amp;$C88&amp;$C88+MID(L$7,4,IF(COLUMN()&gt;19,2,1))-IF(LEFT(L$7,2)="to",1,0),RatesTable[],IF(LEFT(L$7,2)="in",6,7),0)),"")</f>
        <v>0</v>
      </c>
      <c r="M88" s="69">
        <f>IFERROR(IF(LEN(VLOOKUP($B88&amp;$C88&amp;$C88+MID(M$7,4,IF(COLUMN()&gt;19,2,1))-IF(LEFT(M$7,2)="to",1,0),RatesTable[],IF(LEFT(M$7,2)="in",6,7),0))=0,"",VLOOKUP($B88&amp;$C88&amp;$C88+MID(M$7,4,IF(COLUMN()&gt;19,2,1))-IF(LEFT(M$7,2)="to",1,0),RatesTable[],IF(LEFT(M$7,2)="in",6,7),0)),"")</f>
        <v>0.1</v>
      </c>
      <c r="N88" s="69">
        <f>IFERROR(IF(LEN(VLOOKUP($B88&amp;$C88&amp;$C88+MID(N$7,4,IF(COLUMN()&gt;19,2,1))-IF(LEFT(N$7,2)="to",1,0),RatesTable[],IF(LEFT(N$7,2)="in",6,7),0))=0,"",VLOOKUP($B88&amp;$C88&amp;$C88+MID(N$7,4,IF(COLUMN()&gt;19,2,1))-IF(LEFT(N$7,2)="to",1,0),RatesTable[],IF(LEFT(N$7,2)="in",6,7),0)),"")</f>
        <v>0</v>
      </c>
      <c r="O88" s="69">
        <f>IFERROR(IF(LEN(VLOOKUP($B88&amp;$C88&amp;$C88+MID(O$7,4,IF(COLUMN()&gt;19,2,1))-IF(LEFT(O$7,2)="to",1,0),RatesTable[],IF(LEFT(O$7,2)="in",6,7),0))=0,"",VLOOKUP($B88&amp;$C88&amp;$C88+MID(O$7,4,IF(COLUMN()&gt;19,2,1))-IF(LEFT(O$7,2)="to",1,0),RatesTable[],IF(LEFT(O$7,2)="in",6,7),0)),"")</f>
        <v>0.1</v>
      </c>
      <c r="P88" s="69">
        <f>IFERROR(IF(LEN(VLOOKUP($B88&amp;$C88&amp;$C88+MID(P$7,4,IF(COLUMN()&gt;19,2,1))-IF(LEFT(P$7,2)="to",1,0),RatesTable[],IF(LEFT(P$7,2)="in",6,7),0))=0,"",VLOOKUP($B88&amp;$C88&amp;$C88+MID(P$7,4,IF(COLUMN()&gt;19,2,1))-IF(LEFT(P$7,2)="to",1,0),RatesTable[],IF(LEFT(P$7,2)="in",6,7),0)),"")</f>
        <v>0</v>
      </c>
      <c r="Q88" s="69">
        <f>IFERROR(IF(LEN(VLOOKUP($B88&amp;$C88&amp;$C88+MID(Q$7,4,IF(COLUMN()&gt;19,2,1))-IF(LEFT(Q$7,2)="to",1,0),RatesTable[],IF(LEFT(Q$7,2)="in",6,7),0))=0,"",VLOOKUP($B88&amp;$C88&amp;$C88+MID(Q$7,4,IF(COLUMN()&gt;19,2,1))-IF(LEFT(Q$7,2)="to",1,0),RatesTable[],IF(LEFT(Q$7,2)="in",6,7),0)),"")</f>
        <v>0.1</v>
      </c>
      <c r="R88" s="69">
        <f>IFERROR(IF(LEN(VLOOKUP($B88&amp;$C88&amp;$C88+MID(R$7,4,IF(COLUMN()&gt;19,2,1))-IF(LEFT(R$7,2)="to",1,0),RatesTable[],IF(LEFT(R$7,2)="in",6,7),0))=0,"",VLOOKUP($B88&amp;$C88&amp;$C88+MID(R$7,4,IF(COLUMN()&gt;19,2,1))-IF(LEFT(R$7,2)="to",1,0),RatesTable[],IF(LEFT(R$7,2)="in",6,7),0)),"")</f>
        <v>0</v>
      </c>
      <c r="S88" s="69">
        <f>IFERROR(IF(LEN(VLOOKUP($B88&amp;$C88&amp;$C88+MID(S$7,4,IF(COLUMN()&gt;19,2,1))-IF(LEFT(S$7,2)="to",1,0),RatesTable[],IF(LEFT(S$7,2)="in",6,7),0))=0,"",VLOOKUP($B88&amp;$C88&amp;$C88+MID(S$7,4,IF(COLUMN()&gt;19,2,1))-IF(LEFT(S$7,2)="to",1,0),RatesTable[],IF(LEFT(S$7,2)="in",6,7),0)),"")</f>
        <v>0.1</v>
      </c>
      <c r="T88" s="69">
        <f>IFERROR(IF(LEN(VLOOKUP($B88&amp;$C88&amp;$C88+MID(T$7,4,IF(COLUMN()&gt;19,2,1))-IF(LEFT(T$7,2)="to",1,0),RatesTable[],IF(LEFT(T$7,2)="in",6,7),0))=0,"",VLOOKUP($B88&amp;$C88&amp;$C88+MID(T$7,4,IF(COLUMN()&gt;19,2,1))-IF(LEFT(T$7,2)="to",1,0),RatesTable[],IF(LEFT(T$7,2)="in",6,7),0)),"")</f>
        <v>0</v>
      </c>
      <c r="U88" s="71">
        <f>4/40</f>
        <v>0.1</v>
      </c>
      <c r="V88" s="124">
        <v>0</v>
      </c>
      <c r="W88" s="16"/>
      <c r="X88" s="139"/>
      <c r="Y88" s="16"/>
    </row>
    <row r="89" spans="1:25" ht="15" customHeight="1" x14ac:dyDescent="0.2">
      <c r="A89" s="141" t="str">
        <f t="shared" si="1"/>
        <v>0053</v>
      </c>
      <c r="B89" s="101" t="s">
        <v>142</v>
      </c>
      <c r="C89" s="102">
        <v>2005</v>
      </c>
      <c r="D89" s="60">
        <f>IFERROR(IF(LEN(VLOOKUP($B89&amp;$C89,HeadcountAndScoresTable[],IF(D$7="Count",5,IF(D$7="ACT",6,7)),0))=0,"",VLOOKUP($B89&amp;$C89,HeadcountAndScoresTable[],IF(D$7="Count",5,IF(D$7="ACT",6,7)),0)),"")</f>
        <v>88</v>
      </c>
      <c r="E89" s="98">
        <f>IFERROR(IF(LEN(VLOOKUP($B89&amp;$C89,HeadcountAndScoresTable[],IF(E$7="Count",5,IF(E$7="ACT",6,7)),0))=0,"",VLOOKUP($B89&amp;$C89,HeadcountAndScoresTable[],IF(E$7="Count",5,IF(E$7="ACT",6,7)),0)),"")</f>
        <v>15.9</v>
      </c>
      <c r="F89" s="99" t="str">
        <f>IFERROR(IF(LEN(VLOOKUP($B89&amp;$C89,HeadcountAndScoresTable[],IF(F$7="Count",5,IF(F$7="ACT",6,7)),0))=0,"",VLOOKUP($B89&amp;$C89,HeadcountAndScoresTable[],IF(F$7="Count",5,IF(F$7="ACT",6,7)),0)),"")</f>
        <v/>
      </c>
      <c r="G89" s="100">
        <f>IFERROR(IF(LEN(VLOOKUP($B89&amp;$C89&amp;$C89+MID(G$7,4,IF(COLUMN()&gt;19,2,1))-IF(LEFT(G$7,2)="to",1,0),RatesTable[],IF(LEFT(G$7,2)="in",6,7),0))=0,"",VLOOKUP($B89&amp;$C89&amp;$C89+MID(G$7,4,IF(COLUMN()&gt;19,2,1))-IF(LEFT(G$7,2)="to",1,0),RatesTable[],IF(LEFT(G$7,2)="in",6,7),0)),"")</f>
        <v>0.60199999999999998</v>
      </c>
      <c r="H89" s="71">
        <f>IFERROR(IF(LEN(VLOOKUP($B89&amp;$C89&amp;$C89+MID(H$7,4,IF(COLUMN()&gt;19,2,1))-IF(LEFT(H$7,2)="to",1,0),RatesTable[],IF(LEFT(H$7,2)="in",6,7),0))=0,"",VLOOKUP($B89&amp;$C89&amp;$C89+MID(H$7,4,IF(COLUMN()&gt;19,2,1))-IF(LEFT(H$7,2)="to",1,0),RatesTable[],IF(LEFT(H$7,2)="in",6,7),0)),"")</f>
        <v>0.42</v>
      </c>
      <c r="I89" s="71">
        <f>IFERROR(IF(LEN(VLOOKUP($B89&amp;$C89&amp;$C89+MID(I$7,4,IF(COLUMN()&gt;19,2,1))-IF(LEFT(I$7,2)="to",1,0),RatesTable[],IF(LEFT(I$7,2)="in",6,7),0))=0,"",VLOOKUP($B89&amp;$C89&amp;$C89+MID(I$7,4,IF(COLUMN()&gt;19,2,1))-IF(LEFT(I$7,2)="to",1,0),RatesTable[],IF(LEFT(I$7,2)="in",6,7),0)),"")</f>
        <v>2.3E-2</v>
      </c>
      <c r="J89" s="71">
        <f>IFERROR(IF(LEN(VLOOKUP($B89&amp;$C89&amp;$C89+MID(J$7,4,IF(COLUMN()&gt;19,2,1))-IF(LEFT(J$7,2)="to",1,0),RatesTable[],IF(LEFT(J$7,2)="in",6,7),0))=0,"",VLOOKUP($B89&amp;$C89&amp;$C89+MID(J$7,4,IF(COLUMN()&gt;19,2,1))-IF(LEFT(J$7,2)="to",1,0),RatesTable[],IF(LEFT(J$7,2)="in",6,7),0)),"")</f>
        <v>3.4000000000000002E-2</v>
      </c>
      <c r="K89" s="71">
        <f>IFERROR(IF(LEN(VLOOKUP($B89&amp;$C89&amp;$C89+MID(K$7,4,IF(COLUMN()&gt;19,2,1))-IF(LEFT(K$7,2)="to",1,0),RatesTable[],IF(LEFT(K$7,2)="in",6,7),0))=0,"",VLOOKUP($B89&amp;$C89&amp;$C89+MID(K$7,4,IF(COLUMN()&gt;19,2,1))-IF(LEFT(K$7,2)="to",1,0),RatesTable[],IF(LEFT(K$7,2)="in",6,7),0)),"")</f>
        <v>0.10199999999999999</v>
      </c>
      <c r="L89" s="71">
        <f>IFERROR(IF(LEN(VLOOKUP($B89&amp;$C89&amp;$C89+MID(L$7,4,IF(COLUMN()&gt;19,2,1))-IF(LEFT(L$7,2)="to",1,0),RatesTable[],IF(LEFT(L$7,2)="in",6,7),0))=0,"",VLOOKUP($B89&amp;$C89&amp;$C89+MID(L$7,4,IF(COLUMN()&gt;19,2,1))-IF(LEFT(L$7,2)="to",1,0),RatesTable[],IF(LEFT(L$7,2)="in",6,7),0)),"")</f>
        <v>6.8000000000000005E-2</v>
      </c>
      <c r="M89" s="69">
        <f>IFERROR(IF(LEN(VLOOKUP($B89&amp;$C89&amp;$C89+MID(M$7,4,IF(COLUMN()&gt;19,2,1))-IF(LEFT(M$7,2)="to",1,0),RatesTable[],IF(LEFT(M$7,2)="in",6,7),0))=0,"",VLOOKUP($B89&amp;$C89&amp;$C89+MID(M$7,4,IF(COLUMN()&gt;19,2,1))-IF(LEFT(M$7,2)="to",1,0),RatesTable[],IF(LEFT(M$7,2)="in",6,7),0)),"")</f>
        <v>0.14799999999999999</v>
      </c>
      <c r="N89" s="69">
        <f>IFERROR(IF(LEN(VLOOKUP($B89&amp;$C89&amp;$C89+MID(N$7,4,IF(COLUMN()&gt;19,2,1))-IF(LEFT(N$7,2)="to",1,0),RatesTable[],IF(LEFT(N$7,2)="in",6,7),0))=0,"",VLOOKUP($B89&amp;$C89&amp;$C89+MID(N$7,4,IF(COLUMN()&gt;19,2,1))-IF(LEFT(N$7,2)="to",1,0),RatesTable[],IF(LEFT(N$7,2)="in",6,7),0)),"")</f>
        <v>1.0999999999999999E-2</v>
      </c>
      <c r="O89" s="69">
        <f>IFERROR(IF(LEN(VLOOKUP($B89&amp;$C89&amp;$C89+MID(O$7,4,IF(COLUMN()&gt;19,2,1))-IF(LEFT(O$7,2)="to",1,0),RatesTable[],IF(LEFT(O$7,2)="in",6,7),0))=0,"",VLOOKUP($B89&amp;$C89&amp;$C89+MID(O$7,4,IF(COLUMN()&gt;19,2,1))-IF(LEFT(O$7,2)="to",1,0),RatesTable[],IF(LEFT(O$7,2)="in",6,7),0)),"")</f>
        <v>0.159</v>
      </c>
      <c r="P89" s="69">
        <f>IFERROR(IF(LEN(VLOOKUP($B89&amp;$C89&amp;$C89+MID(P$7,4,IF(COLUMN()&gt;19,2,1))-IF(LEFT(P$7,2)="to",1,0),RatesTable[],IF(LEFT(P$7,2)="in",6,7),0))=0,"",VLOOKUP($B89&amp;$C89&amp;$C89+MID(P$7,4,IF(COLUMN()&gt;19,2,1))-IF(LEFT(P$7,2)="to",1,0),RatesTable[],IF(LEFT(P$7,2)="in",6,7),0)),"")</f>
        <v>0</v>
      </c>
      <c r="Q89" s="64">
        <f>IFERROR(IF(LEN(VLOOKUP($B89&amp;$C89&amp;$C89+MID(Q$7,4,IF(COLUMN()&gt;19,2,1))-IF(LEFT(Q$7,2)="to",1,0),RatesTable[],IF(LEFT(Q$7,2)="in",6,7),0))=0,"",VLOOKUP($B89&amp;$C89&amp;$C89+MID(Q$7,4,IF(COLUMN()&gt;19,2,1))-IF(LEFT(Q$7,2)="to",1,0),RatesTable[],IF(LEFT(Q$7,2)="in",6,7),0)),"")</f>
        <v>0.159</v>
      </c>
      <c r="R89" s="64">
        <f>IFERROR(IF(LEN(VLOOKUP($B89&amp;$C89&amp;$C89+MID(R$7,4,IF(COLUMN()&gt;19,2,1))-IF(LEFT(R$7,2)="to",1,0),RatesTable[],IF(LEFT(R$7,2)="in",6,7),0))=0,"",VLOOKUP($B89&amp;$C89&amp;$C89+MID(R$7,4,IF(COLUMN()&gt;19,2,1))-IF(LEFT(R$7,2)="to",1,0),RatesTable[],IF(LEFT(R$7,2)="in",6,7),0)),"")</f>
        <v>0</v>
      </c>
      <c r="S89" s="71">
        <f>14/88</f>
        <v>0.15909090909090909</v>
      </c>
      <c r="T89" s="71">
        <v>0</v>
      </c>
      <c r="V89" s="123"/>
      <c r="W89" s="16"/>
      <c r="X89" s="139"/>
      <c r="Y89" s="16"/>
    </row>
    <row r="90" spans="1:25" ht="15" customHeight="1" x14ac:dyDescent="0.2">
      <c r="A90" s="141" t="str">
        <f t="shared" si="1"/>
        <v>0053</v>
      </c>
      <c r="B90" s="101" t="s">
        <v>142</v>
      </c>
      <c r="C90" s="102">
        <v>2006</v>
      </c>
      <c r="D90" s="60">
        <f>IFERROR(IF(LEN(VLOOKUP($B90&amp;$C90,HeadcountAndScoresTable[],IF(D$7="Count",5,IF(D$7="ACT",6,7)),0))=0,"",VLOOKUP($B90&amp;$C90,HeadcountAndScoresTable[],IF(D$7="Count",5,IF(D$7="ACT",6,7)),0)),"")</f>
        <v>174</v>
      </c>
      <c r="E90" s="98">
        <f>IFERROR(IF(LEN(VLOOKUP($B90&amp;$C90,HeadcountAndScoresTable[],IF(E$7="Count",5,IF(E$7="ACT",6,7)),0))=0,"",VLOOKUP($B90&amp;$C90,HeadcountAndScoresTable[],IF(E$7="Count",5,IF(E$7="ACT",6,7)),0)),"")</f>
        <v>15.9</v>
      </c>
      <c r="F90" s="99" t="str">
        <f>IFERROR(IF(LEN(VLOOKUP($B90&amp;$C90,HeadcountAndScoresTable[],IF(F$7="Count",5,IF(F$7="ACT",6,7)),0))=0,"",VLOOKUP($B90&amp;$C90,HeadcountAndScoresTable[],IF(F$7="Count",5,IF(F$7="ACT",6,7)),0)),"")</f>
        <v/>
      </c>
      <c r="G90" s="100">
        <f>IFERROR(IF(LEN(VLOOKUP($B90&amp;$C90&amp;$C90+MID(G$7,4,IF(COLUMN()&gt;19,2,1))-IF(LEFT(G$7,2)="to",1,0),RatesTable[],IF(LEFT(G$7,2)="in",6,7),0))=0,"",VLOOKUP($B90&amp;$C90&amp;$C90+MID(G$7,4,IF(COLUMN()&gt;19,2,1))-IF(LEFT(G$7,2)="to",1,0),RatesTable[],IF(LEFT(G$7,2)="in",6,7),0)),"")</f>
        <v>0.36199999999999999</v>
      </c>
      <c r="H90" s="71">
        <f>IFERROR(IF(LEN(VLOOKUP($B90&amp;$C90&amp;$C90+MID(H$7,4,IF(COLUMN()&gt;19,2,1))-IF(LEFT(H$7,2)="to",1,0),RatesTable[],IF(LEFT(H$7,2)="in",6,7),0))=0,"",VLOOKUP($B90&amp;$C90&amp;$C90+MID(H$7,4,IF(COLUMN()&gt;19,2,1))-IF(LEFT(H$7,2)="to",1,0),RatesTable[],IF(LEFT(H$7,2)="in",6,7),0)),"")</f>
        <v>0.26400000000000001</v>
      </c>
      <c r="I90" s="71">
        <f>IFERROR(IF(LEN(VLOOKUP($B90&amp;$C90&amp;$C90+MID(I$7,4,IF(COLUMN()&gt;19,2,1))-IF(LEFT(I$7,2)="to",1,0),RatesTable[],IF(LEFT(I$7,2)="in",6,7),0))=0,"",VLOOKUP($B90&amp;$C90&amp;$C90+MID(I$7,4,IF(COLUMN()&gt;19,2,1))-IF(LEFT(I$7,2)="to",1,0),RatesTable[],IF(LEFT(I$7,2)="in",6,7),0)),"")</f>
        <v>5.7000000000000002E-2</v>
      </c>
      <c r="J90" s="71">
        <f>IFERROR(IF(LEN(VLOOKUP($B90&amp;$C90&amp;$C90+MID(J$7,4,IF(COLUMN()&gt;19,2,1))-IF(LEFT(J$7,2)="to",1,0),RatesTable[],IF(LEFT(J$7,2)="in",6,7),0))=0,"",VLOOKUP($B90&amp;$C90&amp;$C90+MID(J$7,4,IF(COLUMN()&gt;19,2,1))-IF(LEFT(J$7,2)="to",1,0),RatesTable[],IF(LEFT(J$7,2)="in",6,7),0)),"")</f>
        <v>0.14899999999999999</v>
      </c>
      <c r="K90" s="71">
        <f>IFERROR(IF(LEN(VLOOKUP($B90&amp;$C90&amp;$C90+MID(K$7,4,IF(COLUMN()&gt;19,2,1))-IF(LEFT(K$7,2)="to",1,0),RatesTable[],IF(LEFT(K$7,2)="in",6,7),0))=0,"",VLOOKUP($B90&amp;$C90&amp;$C90+MID(K$7,4,IF(COLUMN()&gt;19,2,1))-IF(LEFT(K$7,2)="to",1,0),RatesTable[],IF(LEFT(K$7,2)="in",6,7),0)),"")</f>
        <v>0.17199999999999999</v>
      </c>
      <c r="L90" s="71">
        <f>IFERROR(IF(LEN(VLOOKUP($B90&amp;$C90&amp;$C90+MID(L$7,4,IF(COLUMN()&gt;19,2,1))-IF(LEFT(L$7,2)="to",1,0),RatesTable[],IF(LEFT(L$7,2)="in",6,7),0))=0,"",VLOOKUP($B90&amp;$C90&amp;$C90+MID(L$7,4,IF(COLUMN()&gt;19,2,1))-IF(LEFT(L$7,2)="to",1,0),RatesTable[],IF(LEFT(L$7,2)="in",6,7),0)),"")</f>
        <v>0.04</v>
      </c>
      <c r="M90" s="71">
        <f>IFERROR(IF(LEN(VLOOKUP($B90&amp;$C90&amp;$C90+MID(M$7,4,IF(COLUMN()&gt;19,2,1))-IF(LEFT(M$7,2)="to",1,0),RatesTable[],IF(LEFT(M$7,2)="in",6,7),0))=0,"",VLOOKUP($B90&amp;$C90&amp;$C90+MID(M$7,4,IF(COLUMN()&gt;19,2,1))-IF(LEFT(M$7,2)="to",1,0),RatesTable[],IF(LEFT(M$7,2)="in",6,7),0)),"")</f>
        <v>0.17199999999999999</v>
      </c>
      <c r="N90" s="71">
        <f>IFERROR(IF(LEN(VLOOKUP($B90&amp;$C90&amp;$C90+MID(N$7,4,IF(COLUMN()&gt;19,2,1))-IF(LEFT(N$7,2)="to",1,0),RatesTable[],IF(LEFT(N$7,2)="in",6,7),0))=0,"",VLOOKUP($B90&amp;$C90&amp;$C90+MID(N$7,4,IF(COLUMN()&gt;19,2,1))-IF(LEFT(N$7,2)="to",1,0),RatesTable[],IF(LEFT(N$7,2)="in",6,7),0)),"")</f>
        <v>0</v>
      </c>
      <c r="O90" s="69">
        <f>IFERROR(IF(LEN(VLOOKUP($B90&amp;$C90&amp;$C90+MID(O$7,4,IF(COLUMN()&gt;19,2,1))-IF(LEFT(O$7,2)="to",1,0),RatesTable[],IF(LEFT(O$7,2)="in",6,7),0))=0,"",VLOOKUP($B90&amp;$C90&amp;$C90+MID(O$7,4,IF(COLUMN()&gt;19,2,1))-IF(LEFT(O$7,2)="to",1,0),RatesTable[],IF(LEFT(O$7,2)="in",6,7),0)),"")</f>
        <v>0.17199999999999999</v>
      </c>
      <c r="P90" s="69">
        <f>IFERROR(IF(LEN(VLOOKUP($B90&amp;$C90&amp;$C90+MID(P$7,4,IF(COLUMN()&gt;19,2,1))-IF(LEFT(P$7,2)="to",1,0),RatesTable[],IF(LEFT(P$7,2)="in",6,7),0))=0,"",VLOOKUP($B90&amp;$C90&amp;$C90+MID(P$7,4,IF(COLUMN()&gt;19,2,1))-IF(LEFT(P$7,2)="to",1,0),RatesTable[],IF(LEFT(P$7,2)="in",6,7),0)),"")</f>
        <v>0</v>
      </c>
      <c r="Q90" s="71">
        <f>30/174</f>
        <v>0.17241379310344829</v>
      </c>
      <c r="R90" s="71">
        <v>0</v>
      </c>
      <c r="V90" s="123"/>
      <c r="W90" s="16"/>
      <c r="X90" s="139"/>
      <c r="Y90" s="16"/>
    </row>
    <row r="91" spans="1:25" ht="15" customHeight="1" x14ac:dyDescent="0.2">
      <c r="A91" s="141" t="str">
        <f t="shared" si="1"/>
        <v>0053</v>
      </c>
      <c r="B91" s="101" t="s">
        <v>142</v>
      </c>
      <c r="C91" s="102">
        <v>2007</v>
      </c>
      <c r="D91" s="60">
        <f>IFERROR(IF(LEN(VLOOKUP($B91&amp;$C91,HeadcountAndScoresTable[],IF(D$7="Count",5,IF(D$7="ACT",6,7)),0))=0,"",VLOOKUP($B91&amp;$C91,HeadcountAndScoresTable[],IF(D$7="Count",5,IF(D$7="ACT",6,7)),0)),"")</f>
        <v>131</v>
      </c>
      <c r="E91" s="98">
        <f>IFERROR(IF(LEN(VLOOKUP($B91&amp;$C91,HeadcountAndScoresTable[],IF(E$7="Count",5,IF(E$7="ACT",6,7)),0))=0,"",VLOOKUP($B91&amp;$C91,HeadcountAndScoresTable[],IF(E$7="Count",5,IF(E$7="ACT",6,7)),0)),"")</f>
        <v>18</v>
      </c>
      <c r="F91" s="99" t="str">
        <f>IFERROR(IF(LEN(VLOOKUP($B91&amp;$C91,HeadcountAndScoresTable[],IF(F$7="Count",5,IF(F$7="ACT",6,7)),0))=0,"",VLOOKUP($B91&amp;$C91,HeadcountAndScoresTable[],IF(F$7="Count",5,IF(F$7="ACT",6,7)),0)),"")</f>
        <v/>
      </c>
      <c r="G91" s="100">
        <f>IFERROR(IF(LEN(VLOOKUP($B91&amp;$C91&amp;$C91+MID(G$7,4,IF(COLUMN()&gt;19,2,1))-IF(LEFT(G$7,2)="to",1,0),RatesTable[],IF(LEFT(G$7,2)="in",6,7),0))=0,"",VLOOKUP($B91&amp;$C91&amp;$C91+MID(G$7,4,IF(COLUMN()&gt;19,2,1))-IF(LEFT(G$7,2)="to",1,0),RatesTable[],IF(LEFT(G$7,2)="in",6,7),0)),"")</f>
        <v>0.435</v>
      </c>
      <c r="H91" s="71">
        <f>IFERROR(IF(LEN(VLOOKUP($B91&amp;$C91&amp;$C91+MID(H$7,4,IF(COLUMN()&gt;19,2,1))-IF(LEFT(H$7,2)="to",1,0),RatesTable[],IF(LEFT(H$7,2)="in",6,7),0))=0,"",VLOOKUP($B91&amp;$C91&amp;$C91+MID(H$7,4,IF(COLUMN()&gt;19,2,1))-IF(LEFT(H$7,2)="to",1,0),RatesTable[],IF(LEFT(H$7,2)="in",6,7),0)),"")</f>
        <v>8.0000000000000002E-3</v>
      </c>
      <c r="I91" s="71">
        <f>IFERROR(IF(LEN(VLOOKUP($B91&amp;$C91&amp;$C91+MID(I$7,4,IF(COLUMN()&gt;19,2,1))-IF(LEFT(I$7,2)="to",1,0),RatesTable[],IF(LEFT(I$7,2)="in",6,7),0))=0,"",VLOOKUP($B91&amp;$C91&amp;$C91+MID(I$7,4,IF(COLUMN()&gt;19,2,1))-IF(LEFT(I$7,2)="to",1,0),RatesTable[],IF(LEFT(I$7,2)="in",6,7),0)),"")</f>
        <v>9.1999999999999998E-2</v>
      </c>
      <c r="J91" s="71">
        <f>IFERROR(IF(LEN(VLOOKUP($B91&amp;$C91&amp;$C91+MID(J$7,4,IF(COLUMN()&gt;19,2,1))-IF(LEFT(J$7,2)="to",1,0),RatesTable[],IF(LEFT(J$7,2)="in",6,7),0))=0,"",VLOOKUP($B91&amp;$C91&amp;$C91+MID(J$7,4,IF(COLUMN()&gt;19,2,1))-IF(LEFT(J$7,2)="to",1,0),RatesTable[],IF(LEFT(J$7,2)="in",6,7),0)),"")</f>
        <v>0.16</v>
      </c>
      <c r="K91" s="71">
        <f>IFERROR(IF(LEN(VLOOKUP($B91&amp;$C91&amp;$C91+MID(K$7,4,IF(COLUMN()&gt;19,2,1))-IF(LEFT(K$7,2)="to",1,0),RatesTable[],IF(LEFT(K$7,2)="in",6,7),0))=0,"",VLOOKUP($B91&amp;$C91&amp;$C91+MID(K$7,4,IF(COLUMN()&gt;19,2,1))-IF(LEFT(K$7,2)="to",1,0),RatesTable[],IF(LEFT(K$7,2)="in",6,7),0)),"")</f>
        <v>9.1999999999999998E-2</v>
      </c>
      <c r="L91" s="71">
        <f>IFERROR(IF(LEN(VLOOKUP($B91&amp;$C91&amp;$C91+MID(L$7,4,IF(COLUMN()&gt;19,2,1))-IF(LEFT(L$7,2)="to",1,0),RatesTable[],IF(LEFT(L$7,2)="in",6,7),0))=0,"",VLOOKUP($B91&amp;$C91&amp;$C91+MID(L$7,4,IF(COLUMN()&gt;19,2,1))-IF(LEFT(L$7,2)="to",1,0),RatesTable[],IF(LEFT(L$7,2)="in",6,7),0)),"")</f>
        <v>0</v>
      </c>
      <c r="M91" s="69">
        <f>IFERROR(IF(LEN(VLOOKUP($B91&amp;$C91&amp;$C91+MID(M$7,4,IF(COLUMN()&gt;19,2,1))-IF(LEFT(M$7,2)="to",1,0),RatesTable[],IF(LEFT(M$7,2)="in",6,7),0))=0,"",VLOOKUP($B91&amp;$C91&amp;$C91+MID(M$7,4,IF(COLUMN()&gt;19,2,1))-IF(LEFT(M$7,2)="to",1,0),RatesTable[],IF(LEFT(M$7,2)="in",6,7),0)),"")</f>
        <v>9.1999999999999998E-2</v>
      </c>
      <c r="N91" s="69">
        <f>IFERROR(IF(LEN(VLOOKUP($B91&amp;$C91&amp;$C91+MID(N$7,4,IF(COLUMN()&gt;19,2,1))-IF(LEFT(N$7,2)="to",1,0),RatesTable[],IF(LEFT(N$7,2)="in",6,7),0))=0,"",VLOOKUP($B91&amp;$C91&amp;$C91+MID(N$7,4,IF(COLUMN()&gt;19,2,1))-IF(LEFT(N$7,2)="to",1,0),RatesTable[],IF(LEFT(N$7,2)="in",6,7),0)),"")</f>
        <v>0</v>
      </c>
      <c r="O91" s="71">
        <f>12/131</f>
        <v>9.1603053435114504E-2</v>
      </c>
      <c r="P91" s="71">
        <v>0</v>
      </c>
      <c r="V91" s="123"/>
      <c r="W91" s="16"/>
      <c r="X91" s="139"/>
      <c r="Y91" s="16"/>
    </row>
    <row r="92" spans="1:25" ht="15" customHeight="1" x14ac:dyDescent="0.2">
      <c r="A92" s="141" t="str">
        <f t="shared" si="1"/>
        <v>0053</v>
      </c>
      <c r="B92" s="101" t="s">
        <v>142</v>
      </c>
      <c r="C92" s="102">
        <v>2008</v>
      </c>
      <c r="D92" s="60">
        <f>IFERROR(IF(LEN(VLOOKUP($B92&amp;$C92,HeadcountAndScoresTable[],IF(D$7="Count",5,IF(D$7="ACT",6,7)),0))=0,"",VLOOKUP($B92&amp;$C92,HeadcountAndScoresTable[],IF(D$7="Count",5,IF(D$7="ACT",6,7)),0)),"")</f>
        <v>24</v>
      </c>
      <c r="E92" s="98">
        <f>IFERROR(IF(LEN(VLOOKUP($B92&amp;$C92,HeadcountAndScoresTable[],IF(E$7="Count",5,IF(E$7="ACT",6,7)),0))=0,"",VLOOKUP($B92&amp;$C92,HeadcountAndScoresTable[],IF(E$7="Count",5,IF(E$7="ACT",6,7)),0)),"")</f>
        <v>17.2</v>
      </c>
      <c r="F92" s="99" t="str">
        <f>IFERROR(IF(LEN(VLOOKUP($B92&amp;$C92,HeadcountAndScoresTable[],IF(F$7="Count",5,IF(F$7="ACT",6,7)),0))=0,"",VLOOKUP($B92&amp;$C92,HeadcountAndScoresTable[],IF(F$7="Count",5,IF(F$7="ACT",6,7)),0)),"")</f>
        <v/>
      </c>
      <c r="G92" s="100">
        <f>IFERROR(IF(LEN(VLOOKUP($B92&amp;$C92&amp;$C92+MID(G$7,4,IF(COLUMN()&gt;19,2,1))-IF(LEFT(G$7,2)="to",1,0),RatesTable[],IF(LEFT(G$7,2)="in",6,7),0))=0,"",VLOOKUP($B92&amp;$C92&amp;$C92+MID(G$7,4,IF(COLUMN()&gt;19,2,1))-IF(LEFT(G$7,2)="to",1,0),RatesTable[],IF(LEFT(G$7,2)="in",6,7),0)),"")</f>
        <v>0.625</v>
      </c>
      <c r="H92" s="71">
        <f>IFERROR(IF(LEN(VLOOKUP($B92&amp;$C92&amp;$C92+MID(H$7,4,IF(COLUMN()&gt;19,2,1))-IF(LEFT(H$7,2)="to",1,0),RatesTable[],IF(LEFT(H$7,2)="in",6,7),0))=0,"",VLOOKUP($B92&amp;$C92&amp;$C92+MID(H$7,4,IF(COLUMN()&gt;19,2,1))-IF(LEFT(H$7,2)="to",1,0),RatesTable[],IF(LEFT(H$7,2)="in",6,7),0)),"")</f>
        <v>0.54200000000000004</v>
      </c>
      <c r="I92" s="71">
        <f>IFERROR(IF(LEN(VLOOKUP($B92&amp;$C92&amp;$C92+MID(I$7,4,IF(COLUMN()&gt;19,2,1))-IF(LEFT(I$7,2)="to",1,0),RatesTable[],IF(LEFT(I$7,2)="in",6,7),0))=0,"",VLOOKUP($B92&amp;$C92&amp;$C92+MID(I$7,4,IF(COLUMN()&gt;19,2,1))-IF(LEFT(I$7,2)="to",1,0),RatesTable[],IF(LEFT(I$7,2)="in",6,7),0)),"")</f>
        <v>0.125</v>
      </c>
      <c r="J92" s="71">
        <f>IFERROR(IF(LEN(VLOOKUP($B92&amp;$C92&amp;$C92+MID(J$7,4,IF(COLUMN()&gt;19,2,1))-IF(LEFT(J$7,2)="to",1,0),RatesTable[],IF(LEFT(J$7,2)="in",6,7),0))=0,"",VLOOKUP($B92&amp;$C92&amp;$C92+MID(J$7,4,IF(COLUMN()&gt;19,2,1))-IF(LEFT(J$7,2)="to",1,0),RatesTable[],IF(LEFT(J$7,2)="in",6,7),0)),"")</f>
        <v>0.375</v>
      </c>
      <c r="K92" s="69">
        <f>IFERROR(IF(LEN(VLOOKUP($B92&amp;$C92&amp;$C92+MID(K$7,4,IF(COLUMN()&gt;19,2,1))-IF(LEFT(K$7,2)="to",1,0),RatesTable[],IF(LEFT(K$7,2)="in",6,7),0))=0,"",VLOOKUP($B92&amp;$C92&amp;$C92+MID(K$7,4,IF(COLUMN()&gt;19,2,1))-IF(LEFT(K$7,2)="to",1,0),RatesTable[],IF(LEFT(K$7,2)="in",6,7),0)),"")</f>
        <v>0.45800000000000002</v>
      </c>
      <c r="L92" s="69">
        <f>IFERROR(IF(LEN(VLOOKUP($B92&amp;$C92&amp;$C92+MID(L$7,4,IF(COLUMN()&gt;19,2,1))-IF(LEFT(L$7,2)="to",1,0),RatesTable[],IF(LEFT(L$7,2)="in",6,7),0))=0,"",VLOOKUP($B92&amp;$C92&amp;$C92+MID(L$7,4,IF(COLUMN()&gt;19,2,1))-IF(LEFT(L$7,2)="to",1,0),RatesTable[],IF(LEFT(L$7,2)="in",6,7),0)),"")</f>
        <v>0.125</v>
      </c>
      <c r="M92" s="71">
        <f>13/24</f>
        <v>0.54166666666666663</v>
      </c>
      <c r="N92" s="71">
        <v>0</v>
      </c>
      <c r="O92" s="85"/>
      <c r="P92" s="85"/>
      <c r="V92" s="123"/>
      <c r="W92" s="16"/>
      <c r="X92" s="139"/>
      <c r="Y92" s="16"/>
    </row>
    <row r="93" spans="1:25" ht="15" customHeight="1" x14ac:dyDescent="0.2">
      <c r="A93" s="141" t="str">
        <f t="shared" si="1"/>
        <v>0053</v>
      </c>
      <c r="B93" s="101" t="s">
        <v>142</v>
      </c>
      <c r="C93" s="102">
        <v>2009</v>
      </c>
      <c r="D93" s="60">
        <f>IFERROR(IF(LEN(VLOOKUP($B93&amp;$C93,HeadcountAndScoresTable[],IF(D$7="Count",5,IF(D$7="ACT",6,7)),0))=0,"",VLOOKUP($B93&amp;$C93,HeadcountAndScoresTable[],IF(D$7="Count",5,IF(D$7="ACT",6,7)),0)),"")</f>
        <v>26</v>
      </c>
      <c r="E93" s="98">
        <f>IFERROR(IF(LEN(VLOOKUP($B93&amp;$C93,HeadcountAndScoresTable[],IF(E$7="Count",5,IF(E$7="ACT",6,7)),0))=0,"",VLOOKUP($B93&amp;$C93,HeadcountAndScoresTable[],IF(E$7="Count",5,IF(E$7="ACT",6,7)),0)),"")</f>
        <v>19</v>
      </c>
      <c r="F93" s="99" t="str">
        <f>IFERROR(IF(LEN(VLOOKUP($B93&amp;$C93,HeadcountAndScoresTable[],IF(F$7="Count",5,IF(F$7="ACT",6,7)),0))=0,"",VLOOKUP($B93&amp;$C93,HeadcountAndScoresTable[],IF(F$7="Count",5,IF(F$7="ACT",6,7)),0)),"")</f>
        <v/>
      </c>
      <c r="G93" s="100">
        <f>IFERROR(IF(LEN(VLOOKUP($B93&amp;$C93&amp;$C93+MID(G$7,4,IF(COLUMN()&gt;19,2,1))-IF(LEFT(G$7,2)="to",1,0),RatesTable[],IF(LEFT(G$7,2)="in",6,7),0))=0,"",VLOOKUP($B93&amp;$C93&amp;$C93+MID(G$7,4,IF(COLUMN()&gt;19,2,1))-IF(LEFT(G$7,2)="to",1,0),RatesTable[],IF(LEFT(G$7,2)="in",6,7),0)),"")</f>
        <v>0.61499999999999999</v>
      </c>
      <c r="H93" s="71">
        <f>IFERROR(IF(LEN(VLOOKUP($B93&amp;$C93&amp;$C93+MID(H$7,4,IF(COLUMN()&gt;19,2,1))-IF(LEFT(H$7,2)="to",1,0),RatesTable[],IF(LEFT(H$7,2)="in",6,7),0))=0,"",VLOOKUP($B93&amp;$C93&amp;$C93+MID(H$7,4,IF(COLUMN()&gt;19,2,1))-IF(LEFT(H$7,2)="to",1,0),RatesTable[],IF(LEFT(H$7,2)="in",6,7),0)),"")</f>
        <v>0.57699999999999996</v>
      </c>
      <c r="I93" s="69">
        <f>IFERROR(IF(LEN(VLOOKUP($B93&amp;$C93&amp;$C93+MID(I$7,4,IF(COLUMN()&gt;19,2,1))-IF(LEFT(I$7,2)="to",1,0),RatesTable[],IF(LEFT(I$7,2)="in",6,7),0))=0,"",VLOOKUP($B93&amp;$C93&amp;$C93+MID(I$7,4,IF(COLUMN()&gt;19,2,1))-IF(LEFT(I$7,2)="to",1,0),RatesTable[],IF(LEFT(I$7,2)="in",6,7),0)),"")</f>
        <v>0.115</v>
      </c>
      <c r="J93" s="63">
        <f>IFERROR(IF(LEN(VLOOKUP($B93&amp;$C93&amp;$C93+MID(J$7,4,IF(COLUMN()&gt;19,2,1))-IF(LEFT(J$7,2)="to",1,0),RatesTable[],IF(LEFT(J$7,2)="in",6,7),0))=0,"",VLOOKUP($B93&amp;$C93&amp;$C93+MID(J$7,4,IF(COLUMN()&gt;19,2,1))-IF(LEFT(J$7,2)="to",1,0),RatesTable[],IF(LEFT(J$7,2)="in",6,7),0)),"")</f>
        <v>0.308</v>
      </c>
      <c r="K93" s="71">
        <f>9/26</f>
        <v>0.34615384615384615</v>
      </c>
      <c r="L93" s="71">
        <f>2/26</f>
        <v>7.6923076923076927E-2</v>
      </c>
      <c r="M93" s="88"/>
      <c r="N93" s="88"/>
      <c r="O93" s="86"/>
      <c r="P93" s="86"/>
      <c r="Q93" s="87"/>
      <c r="R93" s="87"/>
      <c r="V93" s="123"/>
      <c r="W93" s="16"/>
      <c r="X93" s="139"/>
      <c r="Y93" s="16"/>
    </row>
    <row r="94" spans="1:25" ht="15" customHeight="1" x14ac:dyDescent="0.2">
      <c r="A94" s="141" t="str">
        <f t="shared" si="1"/>
        <v>0053</v>
      </c>
      <c r="B94" s="101" t="s">
        <v>142</v>
      </c>
      <c r="C94" s="102">
        <v>2010</v>
      </c>
      <c r="D94" s="60">
        <f>IFERROR(IF(LEN(VLOOKUP($B94&amp;$C94,HeadcountAndScoresTable[],IF(D$7="Count",5,IF(D$7="ACT",6,7)),0))=0,"",VLOOKUP($B94&amp;$C94,HeadcountAndScoresTable[],IF(D$7="Count",5,IF(D$7="ACT",6,7)),0)),"")</f>
        <v>11</v>
      </c>
      <c r="E94" s="98">
        <f>IFERROR(IF(LEN(VLOOKUP($B94&amp;$C94,HeadcountAndScoresTable[],IF(E$7="Count",5,IF(E$7="ACT",6,7)),0))=0,"",VLOOKUP($B94&amp;$C94,HeadcountAndScoresTable[],IF(E$7="Count",5,IF(E$7="ACT",6,7)),0)),"")</f>
        <v>16.3</v>
      </c>
      <c r="F94" s="99" t="str">
        <f>IFERROR(IF(LEN(VLOOKUP($B94&amp;$C94,HeadcountAndScoresTable[],IF(F$7="Count",5,IF(F$7="ACT",6,7)),0))=0,"",VLOOKUP($B94&amp;$C94,HeadcountAndScoresTable[],IF(F$7="Count",5,IF(F$7="ACT",6,7)),0)),"")</f>
        <v/>
      </c>
      <c r="G94" s="61">
        <f>IFERROR(IF(LEN(VLOOKUP($B94&amp;$C94&amp;$C94+MID(G$7,4,IF(COLUMN()&gt;19,2,1))-IF(LEFT(G$7,2)="to",1,0),RatesTable[],IF(LEFT(G$7,2)="in",6,7),0))=0,"",VLOOKUP($B94&amp;$C94&amp;$C94+MID(G$7,4,IF(COLUMN()&gt;19,2,1))-IF(LEFT(G$7,2)="to",1,0),RatesTable[],IF(LEFT(G$7,2)="in",6,7),0)),"")</f>
        <v>0.54500000000000004</v>
      </c>
      <c r="H94" s="70">
        <f>IFERROR(IF(LEN(VLOOKUP($B94&amp;$C94&amp;$C94+MID(H$7,4,IF(COLUMN()&gt;19,2,1))-IF(LEFT(H$7,2)="to",1,0),RatesTable[],IF(LEFT(H$7,2)="in",6,7),0))=0,"",VLOOKUP($B94&amp;$C94&amp;$C94+MID(H$7,4,IF(COLUMN()&gt;19,2,1))-IF(LEFT(H$7,2)="to",1,0),RatesTable[],IF(LEFT(H$7,2)="in",6,7),0)),"")</f>
        <v>0.45500000000000002</v>
      </c>
      <c r="I94" s="71">
        <f>1/11</f>
        <v>9.0909090909090912E-2</v>
      </c>
      <c r="J94" s="71">
        <f>3/11</f>
        <v>0.27272727272727271</v>
      </c>
      <c r="K94" s="88"/>
      <c r="L94" s="88"/>
      <c r="M94" s="88"/>
      <c r="N94" s="88"/>
      <c r="O94" s="86"/>
      <c r="P94" s="86"/>
      <c r="Q94" s="87"/>
      <c r="R94" s="87"/>
      <c r="V94" s="123"/>
      <c r="W94" s="16"/>
      <c r="X94" s="139"/>
      <c r="Y94" s="16"/>
    </row>
    <row r="95" spans="1:25" ht="15" customHeight="1" x14ac:dyDescent="0.2">
      <c r="A95" s="141" t="str">
        <f t="shared" si="1"/>
        <v>0053</v>
      </c>
      <c r="B95" s="101" t="s">
        <v>142</v>
      </c>
      <c r="C95" s="102">
        <v>2011</v>
      </c>
      <c r="D95" s="60">
        <f>IFERROR(IF(LEN(VLOOKUP($B95&amp;$C95,HeadcountAndScoresTable[],IF(D$7="Count",5,IF(D$7="ACT",6,7)),0))=0,"",VLOOKUP($B95&amp;$C95,HeadcountAndScoresTable[],IF(D$7="Count",5,IF(D$7="ACT",6,7)),0)),"")</f>
        <v>16</v>
      </c>
      <c r="E95" s="98">
        <f>IFERROR(IF(LEN(VLOOKUP($B95&amp;$C95,HeadcountAndScoresTable[],IF(E$7="Count",5,IF(E$7="ACT",6,7)),0))=0,"",VLOOKUP($B95&amp;$C95,HeadcountAndScoresTable[],IF(E$7="Count",5,IF(E$7="ACT",6,7)),0)),"")</f>
        <v>14</v>
      </c>
      <c r="F95" s="99" t="str">
        <f>IFERROR(IF(LEN(VLOOKUP($B95&amp;$C95,HeadcountAndScoresTable[],IF(F$7="Count",5,IF(F$7="ACT",6,7)),0))=0,"",VLOOKUP($B95&amp;$C95,HeadcountAndScoresTable[],IF(F$7="Count",5,IF(F$7="ACT",6,7)),0)),"")</f>
        <v/>
      </c>
      <c r="G95" s="61">
        <f>IFERROR(IF(LEN(VLOOKUP($B95&amp;$C95&amp;$C95+MID(G$7,4,IF(COLUMN()&gt;19,2,1))-IF(LEFT(G$7,2)="to",1,0),RatesTable[],IF(LEFT(G$7,2)="in",6,7),0))=0,"",VLOOKUP($B95&amp;$C95&amp;$C95+MID(G$7,4,IF(COLUMN()&gt;19,2,1))-IF(LEFT(G$7,2)="to",1,0),RatesTable[],IF(LEFT(G$7,2)="in",6,7),0)),"")</f>
        <v>0.625</v>
      </c>
      <c r="H95" s="71">
        <f>IFERROR(IF(LEN(VLOOKUP($B95&amp;$C95&amp;$C95+MID(H$7,4,IF(COLUMN()&gt;19,2,1))-IF(LEFT(H$7,2)="to",1,0),RatesTable[],IF(LEFT(H$7,2)="in",6,7),0))=0,"",VLOOKUP($B95&amp;$C95&amp;$C95+MID(H$7,4,IF(COLUMN()&gt;19,2,1))-IF(LEFT(H$7,2)="to",1,0),RatesTable[],IF(LEFT(H$7,2)="in",6,7),0)),"")</f>
        <v>0.625</v>
      </c>
      <c r="I95" s="88"/>
      <c r="J95" s="88"/>
      <c r="K95" s="88"/>
      <c r="L95" s="88"/>
      <c r="M95" s="88"/>
      <c r="N95" s="88"/>
      <c r="O95" s="86"/>
      <c r="P95" s="86"/>
      <c r="Q95" s="87"/>
      <c r="R95" s="87"/>
      <c r="V95" s="123"/>
      <c r="W95" s="16"/>
      <c r="X95" s="139"/>
      <c r="Y95" s="16"/>
    </row>
    <row r="96" spans="1:25" ht="15" customHeight="1" x14ac:dyDescent="0.2">
      <c r="A96" s="141" t="str">
        <f t="shared" si="1"/>
        <v>0053</v>
      </c>
      <c r="B96" s="101" t="s">
        <v>142</v>
      </c>
      <c r="C96" s="102">
        <v>2012</v>
      </c>
      <c r="D96" s="60">
        <f>IFERROR(IF(LEN(VLOOKUP($B96&amp;$C96,HeadcountAndScoresTable[],IF(D$7="Count",5,IF(D$7="ACT",6,7)),0))=0,"",VLOOKUP($B96&amp;$C96,HeadcountAndScoresTable[],IF(D$7="Count",5,IF(D$7="ACT",6,7)),0)),"")</f>
        <v>19</v>
      </c>
      <c r="E96" s="98" t="str">
        <f>IFERROR(IF(LEN(VLOOKUP($B96&amp;$C96,HeadcountAndScoresTable[],IF(E$7="Count",5,IF(E$7="ACT",6,7)),0))=0,"",VLOOKUP($B96&amp;$C96,HeadcountAndScoresTable[],IF(E$7="Count",5,IF(E$7="ACT",6,7)),0)),"")</f>
        <v/>
      </c>
      <c r="F96" s="99" t="str">
        <f>IFERROR(IF(LEN(VLOOKUP($B96&amp;$C96,HeadcountAndScoresTable[],IF(F$7="Count",5,IF(F$7="ACT",6,7)),0))=0,"",VLOOKUP($B96&amp;$C96,HeadcountAndScoresTable[],IF(F$7="Count",5,IF(F$7="ACT",6,7)),0)),"")</f>
        <v/>
      </c>
      <c r="G96" s="61">
        <f>IFERROR(IF(LEN(VLOOKUP($B96&amp;$C96&amp;$C96+MID(G$7,4,IF(COLUMN()&gt;19,2,1))-IF(LEFT(G$7,2)="to",1,0),RatesTable[],IF(LEFT(G$7,2)="in",6,7),0))=0,"",VLOOKUP($B96&amp;$C96&amp;$C96+MID(G$7,4,IF(COLUMN()&gt;19,2,1))-IF(LEFT(G$7,2)="to",1,0),RatesTable[],IF(LEFT(G$7,2)="in",6,7),0)),"")</f>
        <v>0.68400000000000005</v>
      </c>
      <c r="H96" s="71">
        <f>12/19</f>
        <v>0.63157894736842102</v>
      </c>
      <c r="I96" s="88"/>
      <c r="J96" s="88"/>
      <c r="K96" s="88"/>
      <c r="L96" s="88"/>
      <c r="M96" s="88"/>
      <c r="N96" s="88"/>
      <c r="O96" s="86"/>
      <c r="P96" s="86"/>
      <c r="Q96" s="87"/>
      <c r="R96" s="87"/>
      <c r="V96" s="123"/>
      <c r="W96" s="16"/>
      <c r="X96" s="139"/>
      <c r="Y96" s="16"/>
    </row>
    <row r="97" spans="1:25" ht="15" customHeight="1" x14ac:dyDescent="0.2">
      <c r="A97" s="141" t="str">
        <f t="shared" si="1"/>
        <v>0053</v>
      </c>
      <c r="B97" s="101" t="s">
        <v>142</v>
      </c>
      <c r="C97" s="97">
        <v>2013</v>
      </c>
      <c r="D97" s="60">
        <v>10</v>
      </c>
      <c r="E97" s="98"/>
      <c r="F97" s="99" t="str">
        <f>IFERROR(IF(LEN(VLOOKUP($B97&amp;$C97,HeadcountAndScoresTable[],IF(F$7="Count",5,IF(F$7="ACT",6,7)),0))=0,"",VLOOKUP($B97&amp;$C97,HeadcountAndScoresTable[],IF(F$7="Count",5,IF(F$7="ACT",6,7)),0)),"")</f>
        <v/>
      </c>
      <c r="G97" s="100">
        <f>9/10</f>
        <v>0.9</v>
      </c>
      <c r="H97" s="88"/>
      <c r="I97" s="88"/>
      <c r="J97" s="88"/>
      <c r="K97" s="88"/>
      <c r="L97" s="88"/>
      <c r="M97" s="88"/>
      <c r="N97" s="88"/>
      <c r="O97" s="86"/>
      <c r="P97" s="86"/>
      <c r="Q97" s="87"/>
      <c r="R97" s="87"/>
      <c r="V97" s="123"/>
      <c r="W97" s="16"/>
      <c r="X97" s="139"/>
      <c r="Y97" s="16"/>
    </row>
    <row r="98" spans="1:25" ht="15" customHeight="1" x14ac:dyDescent="0.2">
      <c r="A98" s="141" t="str">
        <f t="shared" si="1"/>
        <v>0053</v>
      </c>
      <c r="B98" s="101" t="s">
        <v>133</v>
      </c>
      <c r="C98" s="102">
        <v>2004</v>
      </c>
      <c r="D98" s="60">
        <f>IFERROR(IF(LEN(VLOOKUP($B98&amp;$C98,HeadcountAndScoresTable[],IF(D$7="Count",5,IF(D$7="ACT",6,7)),0))=0,"",VLOOKUP($B98&amp;$C98,HeadcountAndScoresTable[],IF(D$7="Count",5,IF(D$7="ACT",6,7)),0)),"")</f>
        <v>43</v>
      </c>
      <c r="E98" s="98">
        <f>IFERROR(IF(LEN(VLOOKUP($B98&amp;$C98,HeadcountAndScoresTable[],IF(E$7="Count",5,IF(E$7="ACT",6,7)),0))=0,"",VLOOKUP($B98&amp;$C98,HeadcountAndScoresTable[],IF(E$7="Count",5,IF(E$7="ACT",6,7)),0)),"")</f>
        <v>21.8</v>
      </c>
      <c r="F98" s="99" t="str">
        <f>IFERROR(IF(LEN(VLOOKUP($B98&amp;$C98,HeadcountAndScoresTable[],IF(F$7="Count",5,IF(F$7="ACT",6,7)),0))=0,"",VLOOKUP($B98&amp;$C98,HeadcountAndScoresTable[],IF(F$7="Count",5,IF(F$7="ACT",6,7)),0)),"")</f>
        <v/>
      </c>
      <c r="G98" s="100">
        <f>IFERROR(IF(LEN(VLOOKUP($B98&amp;$C98&amp;$C98+MID(G$7,4,IF(COLUMN()&gt;19,2,1))-IF(LEFT(G$7,2)="to",1,0),RatesTable[],IF(LEFT(G$7,2)="in",6,7),0))=0,"",VLOOKUP($B98&amp;$C98&amp;$C98+MID(G$7,4,IF(COLUMN()&gt;19,2,1))-IF(LEFT(G$7,2)="to",1,0),RatesTable[],IF(LEFT(G$7,2)="in",6,7),0)),"")</f>
        <v>0.67400000000000004</v>
      </c>
      <c r="H98" s="71">
        <f>IFERROR(IF(LEN(VLOOKUP($B98&amp;$C98&amp;$C98+MID(H$7,4,IF(COLUMN()&gt;19,2,1))-IF(LEFT(H$7,2)="to",1,0),RatesTable[],IF(LEFT(H$7,2)="in",6,7),0))=0,"",VLOOKUP($B98&amp;$C98&amp;$C98+MID(H$7,4,IF(COLUMN()&gt;19,2,1))-IF(LEFT(H$7,2)="to",1,0),RatesTable[],IF(LEFT(H$7,2)="in",6,7),0)),"")</f>
        <v>0.55800000000000005</v>
      </c>
      <c r="I98" s="71">
        <f>IFERROR(IF(LEN(VLOOKUP($B98&amp;$C98&amp;$C98+MID(I$7,4,IF(COLUMN()&gt;19,2,1))-IF(LEFT(I$7,2)="to",1,0),RatesTable[],IF(LEFT(I$7,2)="in",6,7),0))=0,"",VLOOKUP($B98&amp;$C98&amp;$C98+MID(I$7,4,IF(COLUMN()&gt;19,2,1))-IF(LEFT(I$7,2)="to",1,0),RatesTable[],IF(LEFT(I$7,2)="in",6,7),0)),"")</f>
        <v>0.14000000000000001</v>
      </c>
      <c r="J98" s="71">
        <f>IFERROR(IF(LEN(VLOOKUP($B98&amp;$C98&amp;$C98+MID(J$7,4,IF(COLUMN()&gt;19,2,1))-IF(LEFT(J$7,2)="to",1,0),RatesTable[],IF(LEFT(J$7,2)="in",6,7),0))=0,"",VLOOKUP($B98&amp;$C98&amp;$C98+MID(J$7,4,IF(COLUMN()&gt;19,2,1))-IF(LEFT(J$7,2)="to",1,0),RatesTable[],IF(LEFT(J$7,2)="in",6,7),0)),"")</f>
        <v>0.27900000000000003</v>
      </c>
      <c r="K98" s="71">
        <f>IFERROR(IF(LEN(VLOOKUP($B98&amp;$C98&amp;$C98+MID(K$7,4,IF(COLUMN()&gt;19,2,1))-IF(LEFT(K$7,2)="to",1,0),RatesTable[],IF(LEFT(K$7,2)="in",6,7),0))=0,"",VLOOKUP($B98&amp;$C98&amp;$C98+MID(K$7,4,IF(COLUMN()&gt;19,2,1))-IF(LEFT(K$7,2)="to",1,0),RatesTable[],IF(LEFT(K$7,2)="in",6,7),0)),"")</f>
        <v>0.25600000000000001</v>
      </c>
      <c r="L98" s="71">
        <f>IFERROR(IF(LEN(VLOOKUP($B98&amp;$C98&amp;$C98+MID(L$7,4,IF(COLUMN()&gt;19,2,1))-IF(LEFT(L$7,2)="to",1,0),RatesTable[],IF(LEFT(L$7,2)="in",6,7),0))=0,"",VLOOKUP($B98&amp;$C98&amp;$C98+MID(L$7,4,IF(COLUMN()&gt;19,2,1))-IF(LEFT(L$7,2)="to",1,0),RatesTable[],IF(LEFT(L$7,2)="in",6,7),0)),"")</f>
        <v>0.16300000000000001</v>
      </c>
      <c r="M98" s="69">
        <f>IFERROR(IF(LEN(VLOOKUP($B98&amp;$C98&amp;$C98+MID(M$7,4,IF(COLUMN()&gt;19,2,1))-IF(LEFT(M$7,2)="to",1,0),RatesTable[],IF(LEFT(M$7,2)="in",6,7),0))=0,"",VLOOKUP($B98&amp;$C98&amp;$C98+MID(M$7,4,IF(COLUMN()&gt;19,2,1))-IF(LEFT(M$7,2)="to",1,0),RatesTable[],IF(LEFT(M$7,2)="in",6,7),0)),"")</f>
        <v>0.30199999999999999</v>
      </c>
      <c r="N98" s="69">
        <f>IFERROR(IF(LEN(VLOOKUP($B98&amp;$C98&amp;$C98+MID(N$7,4,IF(COLUMN()&gt;19,2,1))-IF(LEFT(N$7,2)="to",1,0),RatesTable[],IF(LEFT(N$7,2)="in",6,7),0))=0,"",VLOOKUP($B98&amp;$C98&amp;$C98+MID(N$7,4,IF(COLUMN()&gt;19,2,1))-IF(LEFT(N$7,2)="to",1,0),RatesTable[],IF(LEFT(N$7,2)="in",6,7),0)),"")</f>
        <v>0.16300000000000001</v>
      </c>
      <c r="O98" s="69">
        <f>IFERROR(IF(LEN(VLOOKUP($B98&amp;$C98&amp;$C98+MID(O$7,4,IF(COLUMN()&gt;19,2,1))-IF(LEFT(O$7,2)="to",1,0),RatesTable[],IF(LEFT(O$7,2)="in",6,7),0))=0,"",VLOOKUP($B98&amp;$C98&amp;$C98+MID(O$7,4,IF(COLUMN()&gt;19,2,1))-IF(LEFT(O$7,2)="to",1,0),RatesTable[],IF(LEFT(O$7,2)="in",6,7),0)),"")</f>
        <v>0.34899999999999998</v>
      </c>
      <c r="P98" s="69">
        <f>IFERROR(IF(LEN(VLOOKUP($B98&amp;$C98&amp;$C98+MID(P$7,4,IF(COLUMN()&gt;19,2,1))-IF(LEFT(P$7,2)="to",1,0),RatesTable[],IF(LEFT(P$7,2)="in",6,7),0))=0,"",VLOOKUP($B98&amp;$C98&amp;$C98+MID(P$7,4,IF(COLUMN()&gt;19,2,1))-IF(LEFT(P$7,2)="to",1,0),RatesTable[],IF(LEFT(P$7,2)="in",6,7),0)),"")</f>
        <v>4.7E-2</v>
      </c>
      <c r="Q98" s="69">
        <f>IFERROR(IF(LEN(VLOOKUP($B98&amp;$C98&amp;$C98+MID(Q$7,4,IF(COLUMN()&gt;19,2,1))-IF(LEFT(Q$7,2)="to",1,0),RatesTable[],IF(LEFT(Q$7,2)="in",6,7),0))=0,"",VLOOKUP($B98&amp;$C98&amp;$C98+MID(Q$7,4,IF(COLUMN()&gt;19,2,1))-IF(LEFT(Q$7,2)="to",1,0),RatesTable[],IF(LEFT(Q$7,2)="in",6,7),0)),"")</f>
        <v>0.39400000000000002</v>
      </c>
      <c r="R98" s="69">
        <f>IFERROR(IF(LEN(VLOOKUP($B98&amp;$C98&amp;$C98+MID(R$7,4,IF(COLUMN()&gt;19,2,1))-IF(LEFT(R$7,2)="to",1,0),RatesTable[],IF(LEFT(R$7,2)="in",6,7),0))=0,"",VLOOKUP($B98&amp;$C98&amp;$C98+MID(R$7,4,IF(COLUMN()&gt;19,2,1))-IF(LEFT(R$7,2)="to",1,0),RatesTable[],IF(LEFT(R$7,2)="in",6,7),0)),"")</f>
        <v>4.7E-2</v>
      </c>
      <c r="S98" s="69">
        <f>IFERROR(IF(LEN(VLOOKUP($B98&amp;$C98&amp;$C98+MID(S$7,4,IF(COLUMN()&gt;19,2,1))-IF(LEFT(S$7,2)="to",1,0),RatesTable[],IF(LEFT(S$7,2)="in",6,7),0))=0,"",VLOOKUP($B98&amp;$C98&amp;$C98+MID(S$7,4,IF(COLUMN()&gt;19,2,1))-IF(LEFT(S$7,2)="to",1,0),RatesTable[],IF(LEFT(S$7,2)="in",6,7),0)),"")</f>
        <v>0.39500000000000002</v>
      </c>
      <c r="T98" s="69">
        <f>IFERROR(IF(LEN(VLOOKUP($B98&amp;$C98&amp;$C98+MID(T$7,4,IF(COLUMN()&gt;19,2,1))-IF(LEFT(T$7,2)="to",1,0),RatesTable[],IF(LEFT(T$7,2)="in",6,7),0))=0,"",VLOOKUP($B98&amp;$C98&amp;$C98+MID(T$7,4,IF(COLUMN()&gt;19,2,1))-IF(LEFT(T$7,2)="to",1,0),RatesTable[],IF(LEFT(T$7,2)="in",6,7),0)),"")</f>
        <v>9.2999999999999999E-2</v>
      </c>
      <c r="U98" s="71">
        <f>19/43</f>
        <v>0.44186046511627908</v>
      </c>
      <c r="V98" s="124">
        <f>1/43</f>
        <v>2.3255813953488372E-2</v>
      </c>
      <c r="W98" s="16"/>
      <c r="X98" s="139"/>
      <c r="Y98" s="16"/>
    </row>
    <row r="99" spans="1:25" ht="15" customHeight="1" x14ac:dyDescent="0.2">
      <c r="A99" s="141" t="str">
        <f t="shared" si="1"/>
        <v>0053</v>
      </c>
      <c r="B99" s="101" t="s">
        <v>133</v>
      </c>
      <c r="C99" s="102">
        <v>2005</v>
      </c>
      <c r="D99" s="99">
        <f>IFERROR(IF(LEN(VLOOKUP($B99&amp;$C99,HeadcountAndScoresTable[],IF(D$7="Count",5,IF(D$7="ACT",6,7)),0))=0,"",VLOOKUP($B99&amp;$C99,HeadcountAndScoresTable[],IF(D$7="Count",5,IF(D$7="ACT",6,7)),0)),"")</f>
        <v>60</v>
      </c>
      <c r="E99" s="98">
        <f>IFERROR(IF(LEN(VLOOKUP($B99&amp;$C99,HeadcountAndScoresTable[],IF(E$7="Count",5,IF(E$7="ACT",6,7)),0))=0,"",VLOOKUP($B99&amp;$C99,HeadcountAndScoresTable[],IF(E$7="Count",5,IF(E$7="ACT",6,7)),0)),"")</f>
        <v>21</v>
      </c>
      <c r="F99" s="99" t="str">
        <f>IFERROR(IF(LEN(VLOOKUP($B99&amp;$C99,HeadcountAndScoresTable[],IF(F$7="Count",5,IF(F$7="ACT",6,7)),0))=0,"",VLOOKUP($B99&amp;$C99,HeadcountAndScoresTable[],IF(F$7="Count",5,IF(F$7="ACT",6,7)),0)),"")</f>
        <v/>
      </c>
      <c r="G99" s="100">
        <f>IFERROR(IF(LEN(VLOOKUP($B99&amp;$C99&amp;$C99+MID(G$7,4,IF(COLUMN()&gt;19,2,1))-IF(LEFT(G$7,2)="to",1,0),RatesTable[],IF(LEFT(G$7,2)="in",6,7),0))=0,"",VLOOKUP($B99&amp;$C99&amp;$C99+MID(G$7,4,IF(COLUMN()&gt;19,2,1))-IF(LEFT(G$7,2)="to",1,0),RatesTable[],IF(LEFT(G$7,2)="in",6,7),0)),"")</f>
        <v>0.68300000000000005</v>
      </c>
      <c r="H99" s="71">
        <f>IFERROR(IF(LEN(VLOOKUP($B99&amp;$C99&amp;$C99+MID(H$7,4,IF(COLUMN()&gt;19,2,1))-IF(LEFT(H$7,2)="to",1,0),RatesTable[],IF(LEFT(H$7,2)="in",6,7),0))=0,"",VLOOKUP($B99&amp;$C99&amp;$C99+MID(H$7,4,IF(COLUMN()&gt;19,2,1))-IF(LEFT(H$7,2)="to",1,0),RatesTable[],IF(LEFT(H$7,2)="in",6,7),0)),"")</f>
        <v>0.6</v>
      </c>
      <c r="I99" s="71">
        <f>IFERROR(IF(LEN(VLOOKUP($B99&amp;$C99&amp;$C99+MID(I$7,4,IF(COLUMN()&gt;19,2,1))-IF(LEFT(I$7,2)="to",1,0),RatesTable[],IF(LEFT(I$7,2)="in",6,7),0))=0,"",VLOOKUP($B99&amp;$C99&amp;$C99+MID(I$7,4,IF(COLUMN()&gt;19,2,1))-IF(LEFT(I$7,2)="to",1,0),RatesTable[],IF(LEFT(I$7,2)="in",6,7),0)),"")</f>
        <v>0.11700000000000001</v>
      </c>
      <c r="J99" s="71">
        <f>IFERROR(IF(LEN(VLOOKUP($B99&amp;$C99&amp;$C99+MID(J$7,4,IF(COLUMN()&gt;19,2,1))-IF(LEFT(J$7,2)="to",1,0),RatesTable[],IF(LEFT(J$7,2)="in",6,7),0))=0,"",VLOOKUP($B99&amp;$C99&amp;$C99+MID(J$7,4,IF(COLUMN()&gt;19,2,1))-IF(LEFT(J$7,2)="to",1,0),RatesTable[],IF(LEFT(J$7,2)="in",6,7),0)),"")</f>
        <v>0.36699999999999999</v>
      </c>
      <c r="K99" s="71">
        <f>IFERROR(IF(LEN(VLOOKUP($B99&amp;$C99&amp;$C99+MID(K$7,4,IF(COLUMN()&gt;19,2,1))-IF(LEFT(K$7,2)="to",1,0),RatesTable[],IF(LEFT(K$7,2)="in",6,7),0))=0,"",VLOOKUP($B99&amp;$C99&amp;$C99+MID(K$7,4,IF(COLUMN()&gt;19,2,1))-IF(LEFT(K$7,2)="to",1,0),RatesTable[],IF(LEFT(K$7,2)="in",6,7),0)),"")</f>
        <v>0.33300000000000002</v>
      </c>
      <c r="L99" s="71">
        <f>IFERROR(IF(LEN(VLOOKUP($B99&amp;$C99&amp;$C99+MID(L$7,4,IF(COLUMN()&gt;19,2,1))-IF(LEFT(L$7,2)="to",1,0),RatesTable[],IF(LEFT(L$7,2)="in",6,7),0))=0,"",VLOOKUP($B99&amp;$C99&amp;$C99+MID(L$7,4,IF(COLUMN()&gt;19,2,1))-IF(LEFT(L$7,2)="to",1,0),RatesTable[],IF(LEFT(L$7,2)="in",6,7),0)),"")</f>
        <v>6.7000000000000004E-2</v>
      </c>
      <c r="M99" s="69">
        <f>IFERROR(IF(LEN(VLOOKUP($B99&amp;$C99&amp;$C99+MID(M$7,4,IF(COLUMN()&gt;19,2,1))-IF(LEFT(M$7,2)="to",1,0),RatesTable[],IF(LEFT(M$7,2)="in",6,7),0))=0,"",VLOOKUP($B99&amp;$C99&amp;$C99+MID(M$7,4,IF(COLUMN()&gt;19,2,1))-IF(LEFT(M$7,2)="to",1,0),RatesTable[],IF(LEFT(M$7,2)="in",6,7),0)),"")</f>
        <v>0.36699999999999999</v>
      </c>
      <c r="N99" s="69">
        <f>IFERROR(IF(LEN(VLOOKUP($B99&amp;$C99&amp;$C99+MID(N$7,4,IF(COLUMN()&gt;19,2,1))-IF(LEFT(N$7,2)="to",1,0),RatesTable[],IF(LEFT(N$7,2)="in",6,7),0))=0,"",VLOOKUP($B99&amp;$C99&amp;$C99+MID(N$7,4,IF(COLUMN()&gt;19,2,1))-IF(LEFT(N$7,2)="to",1,0),RatesTable[],IF(LEFT(N$7,2)="in",6,7),0)),"")</f>
        <v>0.1</v>
      </c>
      <c r="O99" s="69">
        <f>IFERROR(IF(LEN(VLOOKUP($B99&amp;$C99&amp;$C99+MID(O$7,4,IF(COLUMN()&gt;19,2,1))-IF(LEFT(O$7,2)="to",1,0),RatesTable[],IF(LEFT(O$7,2)="in",6,7),0))=0,"",VLOOKUP($B99&amp;$C99&amp;$C99+MID(O$7,4,IF(COLUMN()&gt;19,2,1))-IF(LEFT(O$7,2)="to",1,0),RatesTable[],IF(LEFT(O$7,2)="in",6,7),0)),"")</f>
        <v>0.4</v>
      </c>
      <c r="P99" s="69">
        <f>IFERROR(IF(LEN(VLOOKUP($B99&amp;$C99&amp;$C99+MID(P$7,4,IF(COLUMN()&gt;19,2,1))-IF(LEFT(P$7,2)="to",1,0),RatesTable[],IF(LEFT(P$7,2)="in",6,7),0))=0,"",VLOOKUP($B99&amp;$C99&amp;$C99+MID(P$7,4,IF(COLUMN()&gt;19,2,1))-IF(LEFT(P$7,2)="to",1,0),RatesTable[],IF(LEFT(P$7,2)="in",6,7),0)),"")</f>
        <v>6.7000000000000004E-2</v>
      </c>
      <c r="Q99" s="64">
        <f>IFERROR(IF(LEN(VLOOKUP($B99&amp;$C99&amp;$C99+MID(Q$7,4,IF(COLUMN()&gt;19,2,1))-IF(LEFT(Q$7,2)="to",1,0),RatesTable[],IF(LEFT(Q$7,2)="in",6,7),0))=0,"",VLOOKUP($B99&amp;$C99&amp;$C99+MID(Q$7,4,IF(COLUMN()&gt;19,2,1))-IF(LEFT(Q$7,2)="to",1,0),RatesTable[],IF(LEFT(Q$7,2)="in",6,7),0)),"")</f>
        <v>0.45</v>
      </c>
      <c r="R99" s="64">
        <f>IFERROR(IF(LEN(VLOOKUP($B99&amp;$C99&amp;$C99+MID(R$7,4,IF(COLUMN()&gt;19,2,1))-IF(LEFT(R$7,2)="to",1,0),RatesTable[],IF(LEFT(R$7,2)="in",6,7),0))=0,"",VLOOKUP($B99&amp;$C99&amp;$C99+MID(R$7,4,IF(COLUMN()&gt;19,2,1))-IF(LEFT(R$7,2)="to",1,0),RatesTable[],IF(LEFT(R$7,2)="in",6,7),0)),"")</f>
        <v>0.05</v>
      </c>
      <c r="S99" s="71">
        <f>27/60</f>
        <v>0.45</v>
      </c>
      <c r="T99" s="71">
        <f>2/60</f>
        <v>3.3333333333333333E-2</v>
      </c>
      <c r="V99" s="123"/>
      <c r="W99" s="16"/>
      <c r="X99" s="139"/>
      <c r="Y99" s="16"/>
    </row>
    <row r="100" spans="1:25" ht="15" customHeight="1" x14ac:dyDescent="0.2">
      <c r="A100" s="141" t="str">
        <f t="shared" si="1"/>
        <v>0053</v>
      </c>
      <c r="B100" s="101" t="s">
        <v>133</v>
      </c>
      <c r="C100" s="102">
        <v>2006</v>
      </c>
      <c r="D100" s="99">
        <f>IFERROR(IF(LEN(VLOOKUP($B100&amp;$C100,HeadcountAndScoresTable[],IF(D$7="Count",5,IF(D$7="ACT",6,7)),0))=0,"",VLOOKUP($B100&amp;$C100,HeadcountAndScoresTable[],IF(D$7="Count",5,IF(D$7="ACT",6,7)),0)),"")</f>
        <v>47</v>
      </c>
      <c r="E100" s="98">
        <f>IFERROR(IF(LEN(VLOOKUP($B100&amp;$C100,HeadcountAndScoresTable[],IF(E$7="Count",5,IF(E$7="ACT",6,7)),0))=0,"",VLOOKUP($B100&amp;$C100,HeadcountAndScoresTable[],IF(E$7="Count",5,IF(E$7="ACT",6,7)),0)),"")</f>
        <v>20.9</v>
      </c>
      <c r="F100" s="99" t="str">
        <f>IFERROR(IF(LEN(VLOOKUP($B100&amp;$C100,HeadcountAndScoresTable[],IF(F$7="Count",5,IF(F$7="ACT",6,7)),0))=0,"",VLOOKUP($B100&amp;$C100,HeadcountAndScoresTable[],IF(F$7="Count",5,IF(F$7="ACT",6,7)),0)),"")</f>
        <v/>
      </c>
      <c r="G100" s="100">
        <f>IFERROR(IF(LEN(VLOOKUP($B100&amp;$C100&amp;$C100+MID(G$7,4,IF(COLUMN()&gt;19,2,1))-IF(LEFT(G$7,2)="to",1,0),RatesTable[],IF(LEFT(G$7,2)="in",6,7),0))=0,"",VLOOKUP($B100&amp;$C100&amp;$C100+MID(G$7,4,IF(COLUMN()&gt;19,2,1))-IF(LEFT(G$7,2)="to",1,0),RatesTable[],IF(LEFT(G$7,2)="in",6,7),0)),"")</f>
        <v>0.70199999999999996</v>
      </c>
      <c r="H100" s="71">
        <f>IFERROR(IF(LEN(VLOOKUP($B100&amp;$C100&amp;$C100+MID(H$7,4,IF(COLUMN()&gt;19,2,1))-IF(LEFT(H$7,2)="to",1,0),RatesTable[],IF(LEFT(H$7,2)="in",6,7),0))=0,"",VLOOKUP($B100&amp;$C100&amp;$C100+MID(H$7,4,IF(COLUMN()&gt;19,2,1))-IF(LEFT(H$7,2)="to",1,0),RatesTable[],IF(LEFT(H$7,2)="in",6,7),0)),"")</f>
        <v>0.57399999999999995</v>
      </c>
      <c r="I100" s="71">
        <f>IFERROR(IF(LEN(VLOOKUP($B100&amp;$C100&amp;$C100+MID(I$7,4,IF(COLUMN()&gt;19,2,1))-IF(LEFT(I$7,2)="to",1,0),RatesTable[],IF(LEFT(I$7,2)="in",6,7),0))=0,"",VLOOKUP($B100&amp;$C100&amp;$C100+MID(I$7,4,IF(COLUMN()&gt;19,2,1))-IF(LEFT(I$7,2)="to",1,0),RatesTable[],IF(LEFT(I$7,2)="in",6,7),0)),"")</f>
        <v>8.5000000000000006E-2</v>
      </c>
      <c r="J100" s="71">
        <f>IFERROR(IF(LEN(VLOOKUP($B100&amp;$C100&amp;$C100+MID(J$7,4,IF(COLUMN()&gt;19,2,1))-IF(LEFT(J$7,2)="to",1,0),RatesTable[],IF(LEFT(J$7,2)="in",6,7),0))=0,"",VLOOKUP($B100&amp;$C100&amp;$C100+MID(J$7,4,IF(COLUMN()&gt;19,2,1))-IF(LEFT(J$7,2)="to",1,0),RatesTable[],IF(LEFT(J$7,2)="in",6,7),0)),"")</f>
        <v>0.40400000000000003</v>
      </c>
      <c r="K100" s="71">
        <f>IFERROR(IF(LEN(VLOOKUP($B100&amp;$C100&amp;$C100+MID(K$7,4,IF(COLUMN()&gt;19,2,1))-IF(LEFT(K$7,2)="to",1,0),RatesTable[],IF(LEFT(K$7,2)="in",6,7),0))=0,"",VLOOKUP($B100&amp;$C100&amp;$C100+MID(K$7,4,IF(COLUMN()&gt;19,2,1))-IF(LEFT(K$7,2)="to",1,0),RatesTable[],IF(LEFT(K$7,2)="in",6,7),0)),"")</f>
        <v>0.31900000000000001</v>
      </c>
      <c r="L100" s="71">
        <f>IFERROR(IF(LEN(VLOOKUP($B100&amp;$C100&amp;$C100+MID(L$7,4,IF(COLUMN()&gt;19,2,1))-IF(LEFT(L$7,2)="to",1,0),RatesTable[],IF(LEFT(L$7,2)="in",6,7),0))=0,"",VLOOKUP($B100&amp;$C100&amp;$C100+MID(L$7,4,IF(COLUMN()&gt;19,2,1))-IF(LEFT(L$7,2)="to",1,0),RatesTable[],IF(LEFT(L$7,2)="in",6,7),0)),"")</f>
        <v>6.4000000000000001E-2</v>
      </c>
      <c r="M100" s="71">
        <f>IFERROR(IF(LEN(VLOOKUP($B100&amp;$C100&amp;$C100+MID(M$7,4,IF(COLUMN()&gt;19,2,1))-IF(LEFT(M$7,2)="to",1,0),RatesTable[],IF(LEFT(M$7,2)="in",6,7),0))=0,"",VLOOKUP($B100&amp;$C100&amp;$C100+MID(M$7,4,IF(COLUMN()&gt;19,2,1))-IF(LEFT(M$7,2)="to",1,0),RatesTable[],IF(LEFT(M$7,2)="in",6,7),0)),"")</f>
        <v>0.38300000000000001</v>
      </c>
      <c r="N100" s="71">
        <f>IFERROR(IF(LEN(VLOOKUP($B100&amp;$C100&amp;$C100+MID(N$7,4,IF(COLUMN()&gt;19,2,1))-IF(LEFT(N$7,2)="to",1,0),RatesTable[],IF(LEFT(N$7,2)="in",6,7),0))=0,"",VLOOKUP($B100&amp;$C100&amp;$C100+MID(N$7,4,IF(COLUMN()&gt;19,2,1))-IF(LEFT(N$7,2)="to",1,0),RatesTable[],IF(LEFT(N$7,2)="in",6,7),0)),"")</f>
        <v>2.1000000000000001E-2</v>
      </c>
      <c r="O100" s="69">
        <f>IFERROR(IF(LEN(VLOOKUP($B100&amp;$C100&amp;$C100+MID(O$7,4,IF(COLUMN()&gt;19,2,1))-IF(LEFT(O$7,2)="to",1,0),RatesTable[],IF(LEFT(O$7,2)="in",6,7),0))=0,"",VLOOKUP($B100&amp;$C100&amp;$C100+MID(O$7,4,IF(COLUMN()&gt;19,2,1))-IF(LEFT(O$7,2)="to",1,0),RatesTable[],IF(LEFT(O$7,2)="in",6,7),0)),"")</f>
        <v>0.38300000000000001</v>
      </c>
      <c r="P100" s="69">
        <f>IFERROR(IF(LEN(VLOOKUP($B100&amp;$C100&amp;$C100+MID(P$7,4,IF(COLUMN()&gt;19,2,1))-IF(LEFT(P$7,2)="to",1,0),RatesTable[],IF(LEFT(P$7,2)="in",6,7),0))=0,"",VLOOKUP($B100&amp;$C100&amp;$C100+MID(P$7,4,IF(COLUMN()&gt;19,2,1))-IF(LEFT(P$7,2)="to",1,0),RatesTable[],IF(LEFT(P$7,2)="in",6,7),0)),"")</f>
        <v>2.1000000000000001E-2</v>
      </c>
      <c r="Q100" s="71">
        <f>19/47</f>
        <v>0.40425531914893614</v>
      </c>
      <c r="R100" s="71">
        <f>3/47</f>
        <v>6.3829787234042548E-2</v>
      </c>
      <c r="V100" s="123"/>
      <c r="W100" s="16"/>
      <c r="X100" s="139"/>
      <c r="Y100" s="16"/>
    </row>
    <row r="101" spans="1:25" ht="15" customHeight="1" x14ac:dyDescent="0.2">
      <c r="A101" s="141" t="str">
        <f t="shared" si="1"/>
        <v>0053</v>
      </c>
      <c r="B101" s="101" t="s">
        <v>133</v>
      </c>
      <c r="C101" s="102">
        <v>2007</v>
      </c>
      <c r="D101" s="99">
        <f>IFERROR(IF(LEN(VLOOKUP($B101&amp;$C101,HeadcountAndScoresTable[],IF(D$7="Count",5,IF(D$7="ACT",6,7)),0))=0,"",VLOOKUP($B101&amp;$C101,HeadcountAndScoresTable[],IF(D$7="Count",5,IF(D$7="ACT",6,7)),0)),"")</f>
        <v>70</v>
      </c>
      <c r="E101" s="98">
        <f>IFERROR(IF(LEN(VLOOKUP($B101&amp;$C101,HeadcountAndScoresTable[],IF(E$7="Count",5,IF(E$7="ACT",6,7)),0))=0,"",VLOOKUP($B101&amp;$C101,HeadcountAndScoresTable[],IF(E$7="Count",5,IF(E$7="ACT",6,7)),0)),"")</f>
        <v>20.8</v>
      </c>
      <c r="F101" s="99" t="str">
        <f>IFERROR(IF(LEN(VLOOKUP($B101&amp;$C101,HeadcountAndScoresTable[],IF(F$7="Count",5,IF(F$7="ACT",6,7)),0))=0,"",VLOOKUP($B101&amp;$C101,HeadcountAndScoresTable[],IF(F$7="Count",5,IF(F$7="ACT",6,7)),0)),"")</f>
        <v/>
      </c>
      <c r="G101" s="100">
        <f>IFERROR(IF(LEN(VLOOKUP($B101&amp;$C101&amp;$C101+MID(G$7,4,IF(COLUMN()&gt;19,2,1))-IF(LEFT(G$7,2)="to",1,0),RatesTable[],IF(LEFT(G$7,2)="in",6,7),0))=0,"",VLOOKUP($B101&amp;$C101&amp;$C101+MID(G$7,4,IF(COLUMN()&gt;19,2,1))-IF(LEFT(G$7,2)="to",1,0),RatesTable[],IF(LEFT(G$7,2)="in",6,7),0)),"")</f>
        <v>0.71399999999999997</v>
      </c>
      <c r="H101" s="71">
        <f>IFERROR(IF(LEN(VLOOKUP($B101&amp;$C101&amp;$C101+MID(H$7,4,IF(COLUMN()&gt;19,2,1))-IF(LEFT(H$7,2)="to",1,0),RatesTable[],IF(LEFT(H$7,2)="in",6,7),0))=0,"",VLOOKUP($B101&amp;$C101&amp;$C101+MID(H$7,4,IF(COLUMN()&gt;19,2,1))-IF(LEFT(H$7,2)="to",1,0),RatesTable[],IF(LEFT(H$7,2)="in",6,7),0)),"")</f>
        <v>0.55700000000000005</v>
      </c>
      <c r="I101" s="71">
        <f>IFERROR(IF(LEN(VLOOKUP($B101&amp;$C101&amp;$C101+MID(I$7,4,IF(COLUMN()&gt;19,2,1))-IF(LEFT(I$7,2)="to",1,0),RatesTable[],IF(LEFT(I$7,2)="in",6,7),0))=0,"",VLOOKUP($B101&amp;$C101&amp;$C101+MID(I$7,4,IF(COLUMN()&gt;19,2,1))-IF(LEFT(I$7,2)="to",1,0),RatesTable[],IF(LEFT(I$7,2)="in",6,7),0)),"")</f>
        <v>0.114</v>
      </c>
      <c r="J101" s="71">
        <f>IFERROR(IF(LEN(VLOOKUP($B101&amp;$C101&amp;$C101+MID(J$7,4,IF(COLUMN()&gt;19,2,1))-IF(LEFT(J$7,2)="to",1,0),RatesTable[],IF(LEFT(J$7,2)="in",6,7),0))=0,"",VLOOKUP($B101&amp;$C101&amp;$C101+MID(J$7,4,IF(COLUMN()&gt;19,2,1))-IF(LEFT(J$7,2)="to",1,0),RatesTable[],IF(LEFT(J$7,2)="in",6,7),0)),"")</f>
        <v>0.25700000000000001</v>
      </c>
      <c r="K101" s="71">
        <f>IFERROR(IF(LEN(VLOOKUP($B101&amp;$C101&amp;$C101+MID(K$7,4,IF(COLUMN()&gt;19,2,1))-IF(LEFT(K$7,2)="to",1,0),RatesTable[],IF(LEFT(K$7,2)="in",6,7),0))=0,"",VLOOKUP($B101&amp;$C101&amp;$C101+MID(K$7,4,IF(COLUMN()&gt;19,2,1))-IF(LEFT(K$7,2)="to",1,0),RatesTable[],IF(LEFT(K$7,2)="in",6,7),0)),"")</f>
        <v>0.27100000000000002</v>
      </c>
      <c r="L101" s="71">
        <f>IFERROR(IF(LEN(VLOOKUP($B101&amp;$C101&amp;$C101+MID(L$7,4,IF(COLUMN()&gt;19,2,1))-IF(LEFT(L$7,2)="to",1,0),RatesTable[],IF(LEFT(L$7,2)="in",6,7),0))=0,"",VLOOKUP($B101&amp;$C101&amp;$C101+MID(L$7,4,IF(COLUMN()&gt;19,2,1))-IF(LEFT(L$7,2)="to",1,0),RatesTable[],IF(LEFT(L$7,2)="in",6,7),0)),"")</f>
        <v>7.0999999999999994E-2</v>
      </c>
      <c r="M101" s="69">
        <f>IFERROR(IF(LEN(VLOOKUP($B101&amp;$C101&amp;$C101+MID(M$7,4,IF(COLUMN()&gt;19,2,1))-IF(LEFT(M$7,2)="to",1,0),RatesTable[],IF(LEFT(M$7,2)="in",6,7),0))=0,"",VLOOKUP($B101&amp;$C101&amp;$C101+MID(M$7,4,IF(COLUMN()&gt;19,2,1))-IF(LEFT(M$7,2)="to",1,0),RatesTable[],IF(LEFT(M$7,2)="in",6,7),0)),"")</f>
        <v>0.32900000000000001</v>
      </c>
      <c r="N101" s="69">
        <f>IFERROR(IF(LEN(VLOOKUP($B101&amp;$C101&amp;$C101+MID(N$7,4,IF(COLUMN()&gt;19,2,1))-IF(LEFT(N$7,2)="to",1,0),RatesTable[],IF(LEFT(N$7,2)="in",6,7),0))=0,"",VLOOKUP($B101&amp;$C101&amp;$C101+MID(N$7,4,IF(COLUMN()&gt;19,2,1))-IF(LEFT(N$7,2)="to",1,0),RatesTable[],IF(LEFT(N$7,2)="in",6,7),0)),"")</f>
        <v>8.5999999999999993E-2</v>
      </c>
      <c r="O101" s="71">
        <f>25/70</f>
        <v>0.35714285714285715</v>
      </c>
      <c r="P101" s="71">
        <f>2/70</f>
        <v>2.8571428571428571E-2</v>
      </c>
      <c r="V101" s="123"/>
      <c r="W101" s="16"/>
      <c r="X101" s="139"/>
      <c r="Y101" s="16"/>
    </row>
    <row r="102" spans="1:25" ht="15" customHeight="1" x14ac:dyDescent="0.2">
      <c r="A102" s="141" t="str">
        <f t="shared" si="1"/>
        <v>0053</v>
      </c>
      <c r="B102" s="101" t="s">
        <v>133</v>
      </c>
      <c r="C102" s="102">
        <v>2008</v>
      </c>
      <c r="D102" s="99">
        <f>IFERROR(IF(LEN(VLOOKUP($B102&amp;$C102,HeadcountAndScoresTable[],IF(D$7="Count",5,IF(D$7="ACT",6,7)),0))=0,"",VLOOKUP($B102&amp;$C102,HeadcountAndScoresTable[],IF(D$7="Count",5,IF(D$7="ACT",6,7)),0)),"")</f>
        <v>139</v>
      </c>
      <c r="E102" s="98">
        <f>IFERROR(IF(LEN(VLOOKUP($B102&amp;$C102,HeadcountAndScoresTable[],IF(E$7="Count",5,IF(E$7="ACT",6,7)),0))=0,"",VLOOKUP($B102&amp;$C102,HeadcountAndScoresTable[],IF(E$7="Count",5,IF(E$7="ACT",6,7)),0)),"")</f>
        <v>20.399999999999999</v>
      </c>
      <c r="F102" s="99" t="str">
        <f>IFERROR(IF(LEN(VLOOKUP($B102&amp;$C102,HeadcountAndScoresTable[],IF(F$7="Count",5,IF(F$7="ACT",6,7)),0))=0,"",VLOOKUP($B102&amp;$C102,HeadcountAndScoresTable[],IF(F$7="Count",5,IF(F$7="ACT",6,7)),0)),"")</f>
        <v/>
      </c>
      <c r="G102" s="100">
        <f>IFERROR(IF(LEN(VLOOKUP($B102&amp;$C102&amp;$C102+MID(G$7,4,IF(COLUMN()&gt;19,2,1))-IF(LEFT(G$7,2)="to",1,0),RatesTable[],IF(LEFT(G$7,2)="in",6,7),0))=0,"",VLOOKUP($B102&amp;$C102&amp;$C102+MID(G$7,4,IF(COLUMN()&gt;19,2,1))-IF(LEFT(G$7,2)="to",1,0),RatesTable[],IF(LEFT(G$7,2)="in",6,7),0)),"")</f>
        <v>0.10100000000000001</v>
      </c>
      <c r="H102" s="71">
        <f>IFERROR(IF(LEN(VLOOKUP($B102&amp;$C102&amp;$C102+MID(H$7,4,IF(COLUMN()&gt;19,2,1))-IF(LEFT(H$7,2)="to",1,0),RatesTable[],IF(LEFT(H$7,2)="in",6,7),0))=0,"",VLOOKUP($B102&amp;$C102&amp;$C102+MID(H$7,4,IF(COLUMN()&gt;19,2,1))-IF(LEFT(H$7,2)="to",1,0),RatesTable[],IF(LEFT(H$7,2)="in",6,7),0)),"")</f>
        <v>0.13700000000000001</v>
      </c>
      <c r="I102" s="71">
        <f>IFERROR(IF(LEN(VLOOKUP($B102&amp;$C102&amp;$C102+MID(I$7,4,IF(COLUMN()&gt;19,2,1))-IF(LEFT(I$7,2)="to",1,0),RatesTable[],IF(LEFT(I$7,2)="in",6,7),0))=0,"",VLOOKUP($B102&amp;$C102&amp;$C102+MID(I$7,4,IF(COLUMN()&gt;19,2,1))-IF(LEFT(I$7,2)="to",1,0),RatesTable[],IF(LEFT(I$7,2)="in",6,7),0)),"")</f>
        <v>2.9000000000000001E-2</v>
      </c>
      <c r="J102" s="71">
        <f>IFERROR(IF(LEN(VLOOKUP($B102&amp;$C102&amp;$C102+MID(J$7,4,IF(COLUMN()&gt;19,2,1))-IF(LEFT(J$7,2)="to",1,0),RatesTable[],IF(LEFT(J$7,2)="in",6,7),0))=0,"",VLOOKUP($B102&amp;$C102&amp;$C102+MID(J$7,4,IF(COLUMN()&gt;19,2,1))-IF(LEFT(J$7,2)="to",1,0),RatesTable[],IF(LEFT(J$7,2)="in",6,7),0)),"")</f>
        <v>6.5000000000000002E-2</v>
      </c>
      <c r="K102" s="69">
        <f>IFERROR(IF(LEN(VLOOKUP($B102&amp;$C102&amp;$C102+MID(K$7,4,IF(COLUMN()&gt;19,2,1))-IF(LEFT(K$7,2)="to",1,0),RatesTable[],IF(LEFT(K$7,2)="in",6,7),0))=0,"",VLOOKUP($B102&amp;$C102&amp;$C102+MID(K$7,4,IF(COLUMN()&gt;19,2,1))-IF(LEFT(K$7,2)="to",1,0),RatesTable[],IF(LEFT(K$7,2)="in",6,7),0)),"")</f>
        <v>4.2999999999999997E-2</v>
      </c>
      <c r="L102" s="69">
        <f>IFERROR(IF(LEN(VLOOKUP($B102&amp;$C102&amp;$C102+MID(L$7,4,IF(COLUMN()&gt;19,2,1))-IF(LEFT(L$7,2)="to",1,0),RatesTable[],IF(LEFT(L$7,2)="in",6,7),0))=0,"",VLOOKUP($B102&amp;$C102&amp;$C102+MID(L$7,4,IF(COLUMN()&gt;19,2,1))-IF(LEFT(L$7,2)="to",1,0),RatesTable[],IF(LEFT(L$7,2)="in",6,7),0)),"")</f>
        <v>4.2999999999999997E-2</v>
      </c>
      <c r="M102" s="71">
        <f>9/139</f>
        <v>6.4748201438848921E-2</v>
      </c>
      <c r="N102" s="71">
        <f>5/139</f>
        <v>3.5971223021582732E-2</v>
      </c>
      <c r="O102" s="85"/>
      <c r="P102" s="85"/>
      <c r="V102" s="123"/>
      <c r="W102" s="16"/>
      <c r="X102" s="139"/>
      <c r="Y102" s="16"/>
    </row>
    <row r="103" spans="1:25" ht="15" customHeight="1" x14ac:dyDescent="0.2">
      <c r="A103" s="141" t="str">
        <f t="shared" si="1"/>
        <v>0053</v>
      </c>
      <c r="B103" s="101" t="s">
        <v>133</v>
      </c>
      <c r="C103" s="102">
        <v>2009</v>
      </c>
      <c r="D103" s="99">
        <f>IFERROR(IF(LEN(VLOOKUP($B103&amp;$C103,HeadcountAndScoresTable[],IF(D$7="Count",5,IF(D$7="ACT",6,7)),0))=0,"",VLOOKUP($B103&amp;$C103,HeadcountAndScoresTable[],IF(D$7="Count",5,IF(D$7="ACT",6,7)),0)),"")</f>
        <v>33</v>
      </c>
      <c r="E103" s="98">
        <f>IFERROR(IF(LEN(VLOOKUP($B103&amp;$C103,HeadcountAndScoresTable[],IF(E$7="Count",5,IF(E$7="ACT",6,7)),0))=0,"",VLOOKUP($B103&amp;$C103,HeadcountAndScoresTable[],IF(E$7="Count",5,IF(E$7="ACT",6,7)),0)),"")</f>
        <v>20.8</v>
      </c>
      <c r="F103" s="99" t="str">
        <f>IFERROR(IF(LEN(VLOOKUP($B103&amp;$C103,HeadcountAndScoresTable[],IF(F$7="Count",5,IF(F$7="ACT",6,7)),0))=0,"",VLOOKUP($B103&amp;$C103,HeadcountAndScoresTable[],IF(F$7="Count",5,IF(F$7="ACT",6,7)),0)),"")</f>
        <v/>
      </c>
      <c r="G103" s="100">
        <f>IFERROR(IF(LEN(VLOOKUP($B103&amp;$C103&amp;$C103+MID(G$7,4,IF(COLUMN()&gt;19,2,1))-IF(LEFT(G$7,2)="to",1,0),RatesTable[],IF(LEFT(G$7,2)="in",6,7),0))=0,"",VLOOKUP($B103&amp;$C103&amp;$C103+MID(G$7,4,IF(COLUMN()&gt;19,2,1))-IF(LEFT(G$7,2)="to",1,0),RatesTable[],IF(LEFT(G$7,2)="in",6,7),0)),"")</f>
        <v>0.81799999999999995</v>
      </c>
      <c r="H103" s="71">
        <f>IFERROR(IF(LEN(VLOOKUP($B103&amp;$C103&amp;$C103+MID(H$7,4,IF(COLUMN()&gt;19,2,1))-IF(LEFT(H$7,2)="to",1,0),RatesTable[],IF(LEFT(H$7,2)="in",6,7),0))=0,"",VLOOKUP($B103&amp;$C103&amp;$C103+MID(H$7,4,IF(COLUMN()&gt;19,2,1))-IF(LEFT(H$7,2)="to",1,0),RatesTable[],IF(LEFT(H$7,2)="in",6,7),0)),"")</f>
        <v>0.60599999999999998</v>
      </c>
      <c r="I103" s="69">
        <f>IFERROR(IF(LEN(VLOOKUP($B103&amp;$C103&amp;$C103+MID(I$7,4,IF(COLUMN()&gt;19,2,1))-IF(LEFT(I$7,2)="to",1,0),RatesTable[],IF(LEFT(I$7,2)="in",6,7),0))=0,"",VLOOKUP($B103&amp;$C103&amp;$C103+MID(I$7,4,IF(COLUMN()&gt;19,2,1))-IF(LEFT(I$7,2)="to",1,0),RatesTable[],IF(LEFT(I$7,2)="in",6,7),0)),"")</f>
        <v>0.121</v>
      </c>
      <c r="J103" s="63">
        <f>IFERROR(IF(LEN(VLOOKUP($B103&amp;$C103&amp;$C103+MID(J$7,4,IF(COLUMN()&gt;19,2,1))-IF(LEFT(J$7,2)="to",1,0),RatesTable[],IF(LEFT(J$7,2)="in",6,7),0))=0,"",VLOOKUP($B103&amp;$C103&amp;$C103+MID(J$7,4,IF(COLUMN()&gt;19,2,1))-IF(LEFT(J$7,2)="to",1,0),RatesTable[],IF(LEFT(J$7,2)="in",6,7),0)),"")</f>
        <v>0.42399999999999999</v>
      </c>
      <c r="K103" s="71">
        <f>12/33</f>
        <v>0.36363636363636365</v>
      </c>
      <c r="L103" s="71">
        <f>5/33</f>
        <v>0.15151515151515152</v>
      </c>
      <c r="M103" s="88"/>
      <c r="N103" s="88"/>
      <c r="O103" s="86"/>
      <c r="P103" s="86"/>
      <c r="Q103" s="87"/>
      <c r="R103" s="87"/>
      <c r="V103" s="123"/>
      <c r="W103" s="16"/>
      <c r="X103" s="139"/>
      <c r="Y103" s="16"/>
    </row>
    <row r="104" spans="1:25" ht="15" customHeight="1" x14ac:dyDescent="0.2">
      <c r="A104" s="141" t="str">
        <f t="shared" si="1"/>
        <v>0053</v>
      </c>
      <c r="B104" s="101" t="s">
        <v>133</v>
      </c>
      <c r="C104" s="102">
        <v>2010</v>
      </c>
      <c r="D104" s="58">
        <f>IFERROR(IF(LEN(VLOOKUP($B104&amp;$C104,HeadcountAndScoresTable[],IF(D$7="Count",5,IF(D$7="ACT",6,7)),0))=0,"",VLOOKUP($B104&amp;$C104,HeadcountAndScoresTable[],IF(D$7="Count",5,IF(D$7="ACT",6,7)),0)),"")</f>
        <v>20</v>
      </c>
      <c r="E104" s="98">
        <f>IFERROR(IF(LEN(VLOOKUP($B104&amp;$C104,HeadcountAndScoresTable[],IF(E$7="Count",5,IF(E$7="ACT",6,7)),0))=0,"",VLOOKUP($B104&amp;$C104,HeadcountAndScoresTable[],IF(E$7="Count",5,IF(E$7="ACT",6,7)),0)),"")</f>
        <v>20.5</v>
      </c>
      <c r="F104" s="99" t="str">
        <f>IFERROR(IF(LEN(VLOOKUP($B104&amp;$C104,HeadcountAndScoresTable[],IF(F$7="Count",5,IF(F$7="ACT",6,7)),0))=0,"",VLOOKUP($B104&amp;$C104,HeadcountAndScoresTable[],IF(F$7="Count",5,IF(F$7="ACT",6,7)),0)),"")</f>
        <v/>
      </c>
      <c r="G104" s="61">
        <f>IFERROR(IF(LEN(VLOOKUP($B104&amp;$C104&amp;$C104+MID(G$7,4,IF(COLUMN()&gt;19,2,1))-IF(LEFT(G$7,2)="to",1,0),RatesTable[],IF(LEFT(G$7,2)="in",6,7),0))=0,"",VLOOKUP($B104&amp;$C104&amp;$C104+MID(G$7,4,IF(COLUMN()&gt;19,2,1))-IF(LEFT(G$7,2)="to",1,0),RatesTable[],IF(LEFT(G$7,2)="in",6,7),0)),"")</f>
        <v>0.65</v>
      </c>
      <c r="H104" s="70">
        <f>IFERROR(IF(LEN(VLOOKUP($B104&amp;$C104&amp;$C104+MID(H$7,4,IF(COLUMN()&gt;19,2,1))-IF(LEFT(H$7,2)="to",1,0),RatesTable[],IF(LEFT(H$7,2)="in",6,7),0))=0,"",VLOOKUP($B104&amp;$C104&amp;$C104+MID(H$7,4,IF(COLUMN()&gt;19,2,1))-IF(LEFT(H$7,2)="to",1,0),RatesTable[],IF(LEFT(H$7,2)="in",6,7),0)),"")</f>
        <v>0.45</v>
      </c>
      <c r="I104" s="71">
        <f>2/20</f>
        <v>0.1</v>
      </c>
      <c r="J104" s="71">
        <f>4/20</f>
        <v>0.2</v>
      </c>
      <c r="K104" s="88"/>
      <c r="L104" s="88"/>
      <c r="M104" s="88"/>
      <c r="N104" s="88"/>
      <c r="O104" s="86"/>
      <c r="P104" s="86"/>
      <c r="Q104" s="87"/>
      <c r="R104" s="87"/>
      <c r="V104" s="123"/>
      <c r="W104" s="16"/>
      <c r="X104" s="139"/>
      <c r="Y104" s="16"/>
    </row>
    <row r="105" spans="1:25" ht="15" customHeight="1" x14ac:dyDescent="0.2">
      <c r="A105" s="141" t="str">
        <f t="shared" si="1"/>
        <v>0053</v>
      </c>
      <c r="B105" s="101" t="s">
        <v>133</v>
      </c>
      <c r="C105" s="102">
        <v>2011</v>
      </c>
      <c r="D105" s="58">
        <f>IFERROR(IF(LEN(VLOOKUP($B105&amp;$C105,HeadcountAndScoresTable[],IF(D$7="Count",5,IF(D$7="ACT",6,7)),0))=0,"",VLOOKUP($B105&amp;$C105,HeadcountAndScoresTable[],IF(D$7="Count",5,IF(D$7="ACT",6,7)),0)),"")</f>
        <v>31</v>
      </c>
      <c r="E105" s="98">
        <f>IFERROR(IF(LEN(VLOOKUP($B105&amp;$C105,HeadcountAndScoresTable[],IF(E$7="Count",5,IF(E$7="ACT",6,7)),0))=0,"",VLOOKUP($B105&amp;$C105,HeadcountAndScoresTable[],IF(E$7="Count",5,IF(E$7="ACT",6,7)),0)),"")</f>
        <v>21.3</v>
      </c>
      <c r="F105" s="99" t="str">
        <f>IFERROR(IF(LEN(VLOOKUP($B105&amp;$C105,HeadcountAndScoresTable[],IF(F$7="Count",5,IF(F$7="ACT",6,7)),0))=0,"",VLOOKUP($B105&amp;$C105,HeadcountAndScoresTable[],IF(F$7="Count",5,IF(F$7="ACT",6,7)),0)),"")</f>
        <v/>
      </c>
      <c r="G105" s="61">
        <f>IFERROR(IF(LEN(VLOOKUP($B105&amp;$C105&amp;$C105+MID(G$7,4,IF(COLUMN()&gt;19,2,1))-IF(LEFT(G$7,2)="to",1,0),RatesTable[],IF(LEFT(G$7,2)="in",6,7),0))=0,"",VLOOKUP($B105&amp;$C105&amp;$C105+MID(G$7,4,IF(COLUMN()&gt;19,2,1))-IF(LEFT(G$7,2)="to",1,0),RatesTable[],IF(LEFT(G$7,2)="in",6,7),0)),"")</f>
        <v>0.48399999999999999</v>
      </c>
      <c r="H105" s="71">
        <f>IFERROR(IF(LEN(VLOOKUP($B105&amp;$C105&amp;$C105+MID(H$7,4,IF(COLUMN()&gt;19,2,1))-IF(LEFT(H$7,2)="to",1,0),RatesTable[],IF(LEFT(H$7,2)="in",6,7),0))=0,"",VLOOKUP($B105&amp;$C105&amp;$C105+MID(H$7,4,IF(COLUMN()&gt;19,2,1))-IF(LEFT(H$7,2)="to",1,0),RatesTable[],IF(LEFT(H$7,2)="in",6,7),0)),"")</f>
        <v>0.35499999999999998</v>
      </c>
      <c r="I105" s="88"/>
      <c r="J105" s="88"/>
      <c r="K105" s="88"/>
      <c r="L105" s="88"/>
      <c r="M105" s="88"/>
      <c r="N105" s="88"/>
      <c r="O105" s="86"/>
      <c r="P105" s="86"/>
      <c r="Q105" s="87"/>
      <c r="R105" s="87"/>
      <c r="V105" s="123"/>
      <c r="W105" s="16"/>
      <c r="X105" s="139"/>
      <c r="Y105" s="16"/>
    </row>
    <row r="106" spans="1:25" ht="15" customHeight="1" x14ac:dyDescent="0.2">
      <c r="A106" s="141" t="str">
        <f t="shared" si="1"/>
        <v>0053</v>
      </c>
      <c r="B106" s="101" t="s">
        <v>133</v>
      </c>
      <c r="C106" s="102">
        <v>2012</v>
      </c>
      <c r="D106" s="58">
        <f>IFERROR(IF(LEN(VLOOKUP($B106&amp;$C106,HeadcountAndScoresTable[],IF(D$7="Count",5,IF(D$7="ACT",6,7)),0))=0,"",VLOOKUP($B106&amp;$C106,HeadcountAndScoresTable[],IF(D$7="Count",5,IF(D$7="ACT",6,7)),0)),"")</f>
        <v>34</v>
      </c>
      <c r="E106" s="98">
        <f>IFERROR(IF(LEN(VLOOKUP($B106&amp;$C106,HeadcountAndScoresTable[],IF(E$7="Count",5,IF(E$7="ACT",6,7)),0))=0,"",VLOOKUP($B106&amp;$C106,HeadcountAndScoresTable[],IF(E$7="Count",5,IF(E$7="ACT",6,7)),0)),"")</f>
        <v>21.9</v>
      </c>
      <c r="F106" s="99" t="str">
        <f>IFERROR(IF(LEN(VLOOKUP($B106&amp;$C106,HeadcountAndScoresTable[],IF(F$7="Count",5,IF(F$7="ACT",6,7)),0))=0,"",VLOOKUP($B106&amp;$C106,HeadcountAndScoresTable[],IF(F$7="Count",5,IF(F$7="ACT",6,7)),0)),"")</f>
        <v/>
      </c>
      <c r="G106" s="61">
        <f>IFERROR(IF(LEN(VLOOKUP($B106&amp;$C106&amp;$C106+MID(G$7,4,IF(COLUMN()&gt;19,2,1))-IF(LEFT(G$7,2)="to",1,0),RatesTable[],IF(LEFT(G$7,2)="in",6,7),0))=0,"",VLOOKUP($B106&amp;$C106&amp;$C106+MID(G$7,4,IF(COLUMN()&gt;19,2,1))-IF(LEFT(G$7,2)="to",1,0),RatesTable[],IF(LEFT(G$7,2)="in",6,7),0)),"")</f>
        <v>0.76500000000000001</v>
      </c>
      <c r="H106" s="71">
        <f>17/34</f>
        <v>0.5</v>
      </c>
      <c r="I106" s="88"/>
      <c r="J106" s="88"/>
      <c r="K106" s="88"/>
      <c r="L106" s="88"/>
      <c r="M106" s="88"/>
      <c r="N106" s="88"/>
      <c r="O106" s="86"/>
      <c r="P106" s="86"/>
      <c r="Q106" s="87"/>
      <c r="R106" s="87"/>
      <c r="V106" s="123"/>
      <c r="W106" s="16"/>
      <c r="X106" s="139"/>
      <c r="Y106" s="16"/>
    </row>
    <row r="107" spans="1:25" ht="15" customHeight="1" x14ac:dyDescent="0.2">
      <c r="A107" s="141" t="str">
        <f t="shared" si="1"/>
        <v>0053</v>
      </c>
      <c r="B107" s="101" t="s">
        <v>133</v>
      </c>
      <c r="C107" s="97">
        <v>2013</v>
      </c>
      <c r="D107" s="58">
        <v>33</v>
      </c>
      <c r="E107" s="98">
        <v>23</v>
      </c>
      <c r="F107" s="99" t="str">
        <f>IFERROR(IF(LEN(VLOOKUP($B107&amp;$C107,HeadcountAndScoresTable[],IF(F$7="Count",5,IF(F$7="ACT",6,7)),0))=0,"",VLOOKUP($B107&amp;$C107,HeadcountAndScoresTable[],IF(F$7="Count",5,IF(F$7="ACT",6,7)),0)),"")</f>
        <v/>
      </c>
      <c r="G107" s="100">
        <f>25/33</f>
        <v>0.75757575757575757</v>
      </c>
      <c r="H107" s="88"/>
      <c r="I107" s="88"/>
      <c r="J107" s="88"/>
      <c r="K107" s="88"/>
      <c r="L107" s="88"/>
      <c r="M107" s="88"/>
      <c r="N107" s="88"/>
      <c r="O107" s="86"/>
      <c r="P107" s="86"/>
      <c r="Q107" s="87"/>
      <c r="R107" s="87"/>
      <c r="V107" s="123"/>
      <c r="W107" s="16"/>
      <c r="X107" s="139"/>
      <c r="Y107" s="16"/>
    </row>
    <row r="108" spans="1:25" ht="24" customHeight="1" x14ac:dyDescent="0.2">
      <c r="A108" s="125" t="s">
        <v>761</v>
      </c>
      <c r="B108" s="108"/>
      <c r="C108" s="109"/>
      <c r="D108" s="91"/>
      <c r="E108" s="92"/>
      <c r="F108" s="91"/>
      <c r="G108" s="93"/>
      <c r="H108" s="88"/>
      <c r="I108" s="88"/>
      <c r="J108" s="88"/>
      <c r="K108" s="88"/>
      <c r="L108" s="88"/>
      <c r="M108" s="88"/>
      <c r="N108" s="88"/>
      <c r="O108" s="86"/>
      <c r="P108" s="86"/>
      <c r="Q108" s="94"/>
      <c r="R108" s="94"/>
      <c r="S108" s="95"/>
      <c r="T108" s="95"/>
      <c r="U108" s="95"/>
      <c r="V108" s="123"/>
      <c r="W108" s="16"/>
      <c r="X108" s="139"/>
      <c r="Y108" s="16"/>
    </row>
    <row r="109" spans="1:25" ht="16.5" customHeight="1" x14ac:dyDescent="0.2">
      <c r="A109" t="str">
        <f t="shared" ref="A109:A120" si="2">REPT("0",4-LEN($A$8))&amp;$A$8</f>
        <v>0053</v>
      </c>
      <c r="B109" s="101" t="s">
        <v>134</v>
      </c>
      <c r="C109" s="96">
        <v>2008</v>
      </c>
      <c r="D109" s="159">
        <f>IFERROR(IF(LEN(VLOOKUP($B109&amp;$C109,HeadcountAndScoresTable[],IF(D$7="Count",5,IF(D$7="ACT",6,7)),0))=0,"",VLOOKUP($B109&amp;$C109,HeadcountAndScoresTable[],IF(D$7="Count",5,IF(D$7="ACT",6,7)),0)),"")</f>
        <v>0</v>
      </c>
      <c r="E109" s="160" t="str">
        <f>IFERROR(IF(LEN(VLOOKUP($B109&amp;$C109,HeadcountAndScoresTable[],IF(E$7="Count",5,IF(E$7="ACT",6,7)),0))=0,"",VLOOKUP($B109&amp;$C109,HeadcountAndScoresTable[],IF(E$7="Count",5,IF(E$7="ACT",6,7)),0)),"")</f>
        <v/>
      </c>
      <c r="F109" s="159" t="str">
        <f>IFERROR(IF(LEN(VLOOKUP($B109&amp;$C109,HeadcountAndScoresTable[],IF(F$7="Count",5,IF(F$7="ACT",6,7)),0))=0,"",VLOOKUP($B109&amp;$C109,HeadcountAndScoresTable[],IF(F$7="Count",5,IF(F$7="ACT",6,7)),0)),"")</f>
        <v/>
      </c>
      <c r="G109" s="70" t="str">
        <f>IFERROR(IF(LEN(VLOOKUP($B109&amp;$C109&amp;$C109+MID(G$7,4,IF(COLUMN()&gt;19,2,1))-IF(LEFT(G$7,2)="to",1,0),RatesTable[],IF(LEFT(G$7,2)="in",6,7),0))=0,"",VLOOKUP($B109&amp;$C109&amp;$C109+MID(G$7,4,IF(COLUMN()&gt;19,2,1))-IF(LEFT(G$7,2)="to",1,0),RatesTable[],IF(LEFT(G$7,2)="in",6,7),0)),"")</f>
        <v/>
      </c>
      <c r="H109" s="63" t="str">
        <f>IFERROR(IF(LEN(VLOOKUP($B109&amp;$C109&amp;$C109+MID(H$7,4,IF(COLUMN()&gt;19,2,1))-IF(LEFT(H$7,2)="to",1,0),RatesTable[],IF(LEFT(H$7,2)="in",6,7),0))=0,"",VLOOKUP($B109&amp;$C109&amp;$C109+MID(H$7,4,IF(COLUMN()&gt;19,2,1))-IF(LEFT(H$7,2)="to",1,0),RatesTable[],IF(LEFT(H$7,2)="in",6,7),0)),"")</f>
        <v/>
      </c>
      <c r="I109" s="63" t="str">
        <f>IFERROR(IF(LEN(VLOOKUP($B109&amp;$C109&amp;$C109+MID(I$7,4,IF(COLUMN()&gt;19,2,1))-IF(LEFT(I$7,2)="to",1,0),RatesTable[],IF(LEFT(I$7,2)="in",6,7),0))=0,"",VLOOKUP($B109&amp;$C109&amp;$C109+MID(I$7,4,IF(COLUMN()&gt;19,2,1))-IF(LEFT(I$7,2)="to",1,0),RatesTable[],IF(LEFT(I$7,2)="in",6,7),0)),"")</f>
        <v/>
      </c>
      <c r="J109" s="63" t="str">
        <f>IFERROR(IF(LEN(VLOOKUP($B109&amp;$C109&amp;$C109+MID(J$7,4,IF(COLUMN()&gt;19,2,1))-IF(LEFT(J$7,2)="to",1,0),RatesTable[],IF(LEFT(J$7,2)="in",6,7),0))=0,"",VLOOKUP($B109&amp;$C109&amp;$C109+MID(J$7,4,IF(COLUMN()&gt;19,2,1))-IF(LEFT(J$7,2)="to",1,0),RatesTable[],IF(LEFT(J$7,2)="in",6,7),0)),"")</f>
        <v/>
      </c>
      <c r="K109" s="63" t="str">
        <f>IFERROR(IF(LEN(VLOOKUP($B109&amp;$C109&amp;$C109+MID(K$7,4,IF(COLUMN()&gt;19,2,1))-IF(LEFT(K$7,2)="to",1,0),RatesTable[],IF(LEFT(K$7,2)="in",6,7),0))=0,"",VLOOKUP($B109&amp;$C109&amp;$C109+MID(K$7,4,IF(COLUMN()&gt;19,2,1))-IF(LEFT(K$7,2)="to",1,0),RatesTable[],IF(LEFT(K$7,2)="in",6,7),0)),"")</f>
        <v/>
      </c>
      <c r="L109" s="63" t="str">
        <f>IFERROR(IF(LEN(VLOOKUP($B109&amp;$C109&amp;$C109+MID(L$7,4,IF(COLUMN()&gt;19,2,1))-IF(LEFT(L$7,2)="to",1,0),RatesTable[],IF(LEFT(L$7,2)="in",6,7),0))=0,"",VLOOKUP($B109&amp;$C109&amp;$C109+MID(L$7,4,IF(COLUMN()&gt;19,2,1))-IF(LEFT(L$7,2)="to",1,0),RatesTable[],IF(LEFT(L$7,2)="in",6,7),0)),"")</f>
        <v/>
      </c>
      <c r="M109" s="63" t="str">
        <f>IFERROR(IF(LEN(VLOOKUP($B109&amp;$C109&amp;$C109+MID(M$7,4,IF(COLUMN()&gt;19,2,1))-IF(LEFT(M$7,2)="to",1,0),RatesTable[],IF(LEFT(M$7,2)="in",6,7),0))=0,"",VLOOKUP($B109&amp;$C109&amp;$C109+MID(M$7,4,IF(COLUMN()&gt;19,2,1))-IF(LEFT(M$7,2)="to",1,0),RatesTable[],IF(LEFT(M$7,2)="in",6,7),0)),"")</f>
        <v/>
      </c>
      <c r="N109" s="63" t="str">
        <f>IFERROR(IF(LEN(VLOOKUP($B109&amp;$C109&amp;$C109+MID(N$7,4,IF(COLUMN()&gt;19,2,1))-IF(LEFT(N$7,2)="to",1,0),RatesTable[],IF(LEFT(N$7,2)="in",6,7),0))=0,"",VLOOKUP($B109&amp;$C109&amp;$C109+MID(N$7,4,IF(COLUMN()&gt;19,2,1))-IF(LEFT(N$7,2)="to",1,0),RatesTable[],IF(LEFT(N$7,2)="in",6,7),0)),"")</f>
        <v/>
      </c>
      <c r="O109" s="86"/>
      <c r="P109" s="86"/>
      <c r="Q109" s="94"/>
      <c r="R109" s="94"/>
      <c r="S109" s="95"/>
      <c r="T109" s="95"/>
      <c r="U109" s="95"/>
      <c r="V109" s="123"/>
      <c r="W109" s="16"/>
      <c r="X109" s="139"/>
      <c r="Y109" s="16"/>
    </row>
    <row r="110" spans="1:25" s="16" customFormat="1" ht="15" customHeight="1" x14ac:dyDescent="0.2">
      <c r="A110" s="141" t="str">
        <f t="shared" si="2"/>
        <v>0053</v>
      </c>
      <c r="B110" s="101" t="s">
        <v>134</v>
      </c>
      <c r="C110" s="102">
        <v>2009</v>
      </c>
      <c r="D110" s="58">
        <f>IFERROR(IF(LEN(VLOOKUP($B110&amp;$C110,HeadcountAndScoresTable[],IF(D$7="Count",5,IF(D$7="ACT",6,7)),0))=0,"",VLOOKUP($B110&amp;$C110,HeadcountAndScoresTable[],IF(D$7="Count",5,IF(D$7="ACT",6,7)),0)),"")</f>
        <v>0</v>
      </c>
      <c r="E110" s="98" t="str">
        <f>IFERROR(IF(LEN(VLOOKUP($B110&amp;$C110,HeadcountAndScoresTable[],IF(E$7="Count",5,IF(E$7="ACT",6,7)),0))=0,"",VLOOKUP($B110&amp;$C110,HeadcountAndScoresTable[],IF(E$7="Count",5,IF(E$7="ACT",6,7)),0)),"")</f>
        <v/>
      </c>
      <c r="F110" s="99" t="str">
        <f>IFERROR(IF(LEN(VLOOKUP($B110&amp;$C110,HeadcountAndScoresTable[],IF(F$7="Count",5,IF(F$7="ACT",6,7)),0))=0,"",VLOOKUP($B110&amp;$C110,HeadcountAndScoresTable[],IF(F$7="Count",5,IF(F$7="ACT",6,7)),0)),"")</f>
        <v/>
      </c>
      <c r="G110" s="61" t="str">
        <f>IFERROR(IF(LEN(VLOOKUP($B110&amp;$C110&amp;$C110+MID(G$7,4,IF(COLUMN()&gt;19,2,1))-IF(LEFT(G$7,2)="to",1,0),RatesTable[],IF(LEFT(G$7,2)="in",6,7),0))=0,"",VLOOKUP($B110&amp;$C110&amp;$C110+MID(G$7,4,IF(COLUMN()&gt;19,2,1))-IF(LEFT(G$7,2)="to",1,0),RatesTable[],IF(LEFT(G$7,2)="in",6,7),0)),"")</f>
        <v/>
      </c>
      <c r="H110" s="70" t="str">
        <f>IFERROR(IF(LEN(VLOOKUP($B110&amp;$C110&amp;$C110+MID(H$7,4,IF(COLUMN()&gt;19,2,1))-IF(LEFT(H$7,2)="to",1,0),RatesTable[],IF(LEFT(H$7,2)="in",6,7),0))=0,"",VLOOKUP($B110&amp;$C110&amp;$C110+MID(H$7,4,IF(COLUMN()&gt;19,2,1))-IF(LEFT(H$7,2)="to",1,0),RatesTable[],IF(LEFT(H$7,2)="in",6,7),0)),"")</f>
        <v/>
      </c>
      <c r="I110" s="71" t="str">
        <f>IFERROR(IF(LEN(VLOOKUP($B110&amp;$C110&amp;$C110+MID(I$7,4,IF(COLUMN()&gt;19,2,1))-IF(LEFT(I$7,2)="to",1,0),RatesTable[],IF(LEFT(I$7,2)="in",6,7),0))=0,"",VLOOKUP($B110&amp;$C110&amp;$C110+MID(I$7,4,IF(COLUMN()&gt;19,2,1))-IF(LEFT(I$7,2)="to",1,0),RatesTable[],IF(LEFT(I$7,2)="in",6,7),0)),"")</f>
        <v/>
      </c>
      <c r="J110" s="71" t="str">
        <f>IFERROR(IF(LEN(VLOOKUP($B110&amp;$C110&amp;$C110+MID(J$7,4,IF(COLUMN()&gt;19,2,1))-IF(LEFT(J$7,2)="to",1,0),RatesTable[],IF(LEFT(J$7,2)="in",6,7),0))=0,"",VLOOKUP($B110&amp;$C110&amp;$C110+MID(J$7,4,IF(COLUMN()&gt;19,2,1))-IF(LEFT(J$7,2)="to",1,0),RatesTable[],IF(LEFT(J$7,2)="in",6,7),0)),"")</f>
        <v/>
      </c>
      <c r="K110" s="63" t="str">
        <f>IFERROR(IF(LEN(VLOOKUP($B110&amp;$C110&amp;$C110+MID(K$7,4,IF(COLUMN()&gt;19,2,1))-IF(LEFT(K$7,2)="to",1,0),RatesTable[],IF(LEFT(K$7,2)="in",6,7),0))=0,"",VLOOKUP($B110&amp;$C110&amp;$C110+MID(K$7,4,IF(COLUMN()&gt;19,2,1))-IF(LEFT(K$7,2)="to",1,0),RatesTable[],IF(LEFT(K$7,2)="in",6,7),0)),"")</f>
        <v/>
      </c>
      <c r="L110" s="63" t="str">
        <f>IFERROR(IF(LEN(VLOOKUP($B110&amp;$C110&amp;$C110+MID(L$7,4,IF(COLUMN()&gt;19,2,1))-IF(LEFT(L$7,2)="to",1,0),RatesTable[],IF(LEFT(L$7,2)="in",6,7),0))=0,"",VLOOKUP($B110&amp;$C110&amp;$C110+MID(L$7,4,IF(COLUMN()&gt;19,2,1))-IF(LEFT(L$7,2)="to",1,0),RatesTable[],IF(LEFT(L$7,2)="in",6,7),0)),"")</f>
        <v/>
      </c>
      <c r="M110" s="207"/>
      <c r="N110" s="207"/>
      <c r="O110" s="86"/>
      <c r="P110" s="86"/>
      <c r="Q110" s="87"/>
      <c r="R110" s="87"/>
      <c r="S110" s="84"/>
      <c r="T110" s="84"/>
      <c r="U110" s="84"/>
      <c r="V110" s="123"/>
      <c r="X110" s="139"/>
    </row>
    <row r="111" spans="1:25" s="16" customFormat="1" ht="15" customHeight="1" x14ac:dyDescent="0.2">
      <c r="A111" s="141" t="str">
        <f t="shared" si="2"/>
        <v>0053</v>
      </c>
      <c r="B111" s="101" t="s">
        <v>134</v>
      </c>
      <c r="C111" s="102">
        <v>2010</v>
      </c>
      <c r="D111" s="58">
        <f>IFERROR(IF(LEN(VLOOKUP($B111&amp;$C111,HeadcountAndScoresTable[],IF(D$7="Count",5,IF(D$7="ACT",6,7)),0))=0,"",VLOOKUP($B111&amp;$C111,HeadcountAndScoresTable[],IF(D$7="Count",5,IF(D$7="ACT",6,7)),0)),"")</f>
        <v>0</v>
      </c>
      <c r="E111" s="98" t="str">
        <f>IFERROR(IF(LEN(VLOOKUP($B111&amp;$C111,HeadcountAndScoresTable[],IF(E$7="Count",5,IF(E$7="ACT",6,7)),0))=0,"",VLOOKUP($B111&amp;$C111,HeadcountAndScoresTable[],IF(E$7="Count",5,IF(E$7="ACT",6,7)),0)),"")</f>
        <v/>
      </c>
      <c r="F111" s="99" t="str">
        <f>IFERROR(IF(LEN(VLOOKUP($B111&amp;$C111,HeadcountAndScoresTable[],IF(F$7="Count",5,IF(F$7="ACT",6,7)),0))=0,"",VLOOKUP($B111&amp;$C111,HeadcountAndScoresTable[],IF(F$7="Count",5,IF(F$7="ACT",6,7)),0)),"")</f>
        <v/>
      </c>
      <c r="G111" s="61" t="str">
        <f>IFERROR(IF(LEN(VLOOKUP($B111&amp;$C111&amp;$C111+MID(G$7,4,IF(COLUMN()&gt;19,2,1))-IF(LEFT(G$7,2)="to",1,0),RatesTable[],IF(LEFT(G$7,2)="in",6,7),0))=0,"",VLOOKUP($B111&amp;$C111&amp;$C111+MID(G$7,4,IF(COLUMN()&gt;19,2,1))-IF(LEFT(G$7,2)="to",1,0),RatesTable[],IF(LEFT(G$7,2)="in",6,7),0)),"")</f>
        <v/>
      </c>
      <c r="H111" s="71" t="str">
        <f>IFERROR(IF(LEN(VLOOKUP($B111&amp;$C111&amp;$C111+MID(H$7,4,IF(COLUMN()&gt;19,2,1))-IF(LEFT(H$7,2)="to",1,0),RatesTable[],IF(LEFT(H$7,2)="in",6,7),0))=0,"",VLOOKUP($B111&amp;$C111&amp;$C111+MID(H$7,4,IF(COLUMN()&gt;19,2,1))-IF(LEFT(H$7,2)="to",1,0),RatesTable[],IF(LEFT(H$7,2)="in",6,7),0)),"")</f>
        <v/>
      </c>
      <c r="I111" s="63" t="str">
        <f>IFERROR(IF(LEN(VLOOKUP($B111&amp;$C111&amp;$C111+MID(I$7,4,IF(COLUMN()&gt;19,2,1))-IF(LEFT(I$7,2)="to",1,0),RatesTable[],IF(LEFT(I$7,2)="in",6,7),0))=0,"",VLOOKUP($B111&amp;$C111&amp;$C111+MID(I$7,4,IF(COLUMN()&gt;19,2,1))-IF(LEFT(I$7,2)="to",1,0),RatesTable[],IF(LEFT(I$7,2)="in",6,7),0)),"")</f>
        <v/>
      </c>
      <c r="J111" s="63" t="str">
        <f>IFERROR(IF(LEN(VLOOKUP($B111&amp;$C111&amp;$C111+MID(J$7,4,IF(COLUMN()&gt;19,2,1))-IF(LEFT(J$7,2)="to",1,0),RatesTable[],IF(LEFT(J$7,2)="in",6,7),0))=0,"",VLOOKUP($B111&amp;$C111&amp;$C111+MID(J$7,4,IF(COLUMN()&gt;19,2,1))-IF(LEFT(J$7,2)="to",1,0),RatesTable[],IF(LEFT(J$7,2)="in",6,7),0)),"")</f>
        <v/>
      </c>
      <c r="K111" s="207"/>
      <c r="L111" s="207"/>
      <c r="M111" s="207"/>
      <c r="N111" s="207"/>
      <c r="O111" s="86"/>
      <c r="P111" s="86"/>
      <c r="Q111" s="87"/>
      <c r="R111" s="87"/>
      <c r="S111" s="84"/>
      <c r="T111" s="84"/>
      <c r="U111" s="84"/>
      <c r="V111" s="123"/>
      <c r="X111" s="139"/>
    </row>
    <row r="112" spans="1:25" ht="15" customHeight="1" x14ac:dyDescent="0.2">
      <c r="A112" s="141" t="str">
        <f t="shared" si="2"/>
        <v>0053</v>
      </c>
      <c r="B112" s="101" t="s">
        <v>134</v>
      </c>
      <c r="C112" s="102">
        <v>2011</v>
      </c>
      <c r="D112" s="58">
        <f>IFERROR(IF(LEN(VLOOKUP($B112&amp;$C112,HeadcountAndScoresTable[],IF(D$7="Count",5,IF(D$7="ACT",6,7)),0))=0,"",VLOOKUP($B112&amp;$C112,HeadcountAndScoresTable[],IF(D$7="Count",5,IF(D$7="ACT",6,7)),0)),"")</f>
        <v>1</v>
      </c>
      <c r="E112" s="98">
        <f>IFERROR(IF(LEN(VLOOKUP($B112&amp;$C112,HeadcountAndScoresTable[],IF(E$7="Count",5,IF(E$7="ACT",6,7)),0))=0,"",VLOOKUP($B112&amp;$C112,HeadcountAndScoresTable[],IF(E$7="Count",5,IF(E$7="ACT",6,7)),0)),"")</f>
        <v>24</v>
      </c>
      <c r="F112" s="99" t="str">
        <f>IFERROR(IF(LEN(VLOOKUP($B112&amp;$C112,HeadcountAndScoresTable[],IF(F$7="Count",5,IF(F$7="ACT",6,7)),0))=0,"",VLOOKUP($B112&amp;$C112,HeadcountAndScoresTable[],IF(F$7="Count",5,IF(F$7="ACT",6,7)),0)),"")</f>
        <v/>
      </c>
      <c r="G112" s="61">
        <f>IFERROR(IF(LEN(VLOOKUP($B112&amp;$C112&amp;$C112+MID(G$7,4,IF(COLUMN()&gt;19,2,1))-IF(LEFT(G$7,2)="to",1,0),RatesTable[],IF(LEFT(G$7,2)="in",6,7),0))=0,"",VLOOKUP($B112&amp;$C112&amp;$C112+MID(G$7,4,IF(COLUMN()&gt;19,2,1))-IF(LEFT(G$7,2)="to",1,0),RatesTable[],IF(LEFT(G$7,2)="in",6,7),0)),"")</f>
        <v>1</v>
      </c>
      <c r="H112" s="71">
        <f>IFERROR(IF(LEN(VLOOKUP($B112&amp;$C112&amp;$C112+MID(H$7,4,IF(COLUMN()&gt;19,2,1))-IF(LEFT(H$7,2)="to",1,0),RatesTable[],IF(LEFT(H$7,2)="in",6,7),0))=0,"",VLOOKUP($B112&amp;$C112&amp;$C112+MID(H$7,4,IF(COLUMN()&gt;19,2,1))-IF(LEFT(H$7,2)="to",1,0),RatesTable[],IF(LEFT(H$7,2)="in",6,7),0)),"")</f>
        <v>1</v>
      </c>
      <c r="I112" s="207"/>
      <c r="J112" s="207"/>
      <c r="K112" s="207"/>
      <c r="L112" s="207"/>
      <c r="M112" s="207"/>
      <c r="N112" s="207"/>
      <c r="O112" s="86"/>
      <c r="P112" s="86"/>
      <c r="Q112" s="87"/>
      <c r="R112" s="87"/>
      <c r="V112" s="123"/>
      <c r="W112" s="16"/>
      <c r="X112" s="139"/>
      <c r="Y112" s="16"/>
    </row>
    <row r="113" spans="1:40" ht="15" customHeight="1" x14ac:dyDescent="0.2">
      <c r="A113" s="141" t="str">
        <f t="shared" si="2"/>
        <v>0053</v>
      </c>
      <c r="B113" s="101" t="s">
        <v>134</v>
      </c>
      <c r="C113" s="97">
        <v>2012</v>
      </c>
      <c r="D113" s="58">
        <f>IFERROR(IF(LEN(VLOOKUP($B113&amp;$C113,HeadcountAndScoresTable[],IF(D$7="Count",5,IF(D$7="ACT",6,7)),0))=0,"",VLOOKUP($B113&amp;$C113,HeadcountAndScoresTable[],IF(D$7="Count",5,IF(D$7="ACT",6,7)),0)),"")</f>
        <v>1</v>
      </c>
      <c r="E113" s="98">
        <f>IFERROR(IF(LEN(VLOOKUP($B113&amp;$C113,HeadcountAndScoresTable[],IF(E$7="Count",5,IF(E$7="ACT",6,7)),0))=0,"",VLOOKUP($B113&amp;$C113,HeadcountAndScoresTable[],IF(E$7="Count",5,IF(E$7="ACT",6,7)),0)),"")</f>
        <v>25</v>
      </c>
      <c r="F113" s="99" t="str">
        <f>IFERROR(IF(LEN(VLOOKUP($B113&amp;$C113,HeadcountAndScoresTable[],IF(F$7="Count",5,IF(F$7="ACT",6,7)),0))=0,"",VLOOKUP($B113&amp;$C113,HeadcountAndScoresTable[],IF(F$7="Count",5,IF(F$7="ACT",6,7)),0)),"")</f>
        <v/>
      </c>
      <c r="G113" s="100">
        <f>IFERROR(IF(LEN(VLOOKUP($B113&amp;$C113&amp;$C113+MID(G$7,4,IF(COLUMN()&gt;19,2,1))-IF(LEFT(G$7,2)="to",1,0),RatesTable[],IF(LEFT(G$7,2)="in",6,7),0))=0,"",VLOOKUP($B113&amp;$C113&amp;$C113+MID(G$7,4,IF(COLUMN()&gt;19,2,1))-IF(LEFT(G$7,2)="to",1,0),RatesTable[],IF(LEFT(G$7,2)="in",6,7),0)),"")</f>
        <v>1</v>
      </c>
      <c r="H113" s="63">
        <f>1/1</f>
        <v>1</v>
      </c>
      <c r="I113" s="207"/>
      <c r="J113" s="207"/>
      <c r="K113" s="207"/>
      <c r="L113" s="207"/>
      <c r="M113" s="207"/>
      <c r="N113" s="207"/>
      <c r="O113" s="86"/>
      <c r="P113" s="86"/>
      <c r="Q113" s="87"/>
      <c r="R113" s="87"/>
      <c r="V113" s="123"/>
      <c r="W113" s="16"/>
      <c r="X113" s="139"/>
      <c r="Y113" s="16"/>
    </row>
    <row r="114" spans="1:40" ht="15" customHeight="1" x14ac:dyDescent="0.2">
      <c r="A114" s="141" t="str">
        <f t="shared" si="2"/>
        <v>0053</v>
      </c>
      <c r="B114" s="101" t="s">
        <v>134</v>
      </c>
      <c r="C114" s="97">
        <v>2013</v>
      </c>
      <c r="D114" s="58">
        <v>0</v>
      </c>
      <c r="E114" s="98" t="str">
        <f>IFERROR(IF(LEN(VLOOKUP($B114&amp;$C114,HeadcountAndScoresTable[],IF(E$7="Count",5,IF(E$7="ACT",6,7)),0))=0,"",VLOOKUP($B114&amp;$C114,HeadcountAndScoresTable[],IF(E$7="Count",5,IF(E$7="ACT",6,7)),0)),"")</f>
        <v/>
      </c>
      <c r="F114" s="99" t="str">
        <f>IFERROR(IF(LEN(VLOOKUP($B114&amp;$C114,HeadcountAndScoresTable[],IF(F$7="Count",5,IF(F$7="ACT",6,7)),0))=0,"",VLOOKUP($B114&amp;$C114,HeadcountAndScoresTable[],IF(F$7="Count",5,IF(F$7="ACT",6,7)),0)),"")</f>
        <v/>
      </c>
      <c r="G114" s="100" t="str">
        <f>IFERROR(IF(LEN(VLOOKUP($B114&amp;$C114&amp;$C114+MID(G$7,4,IF(COLUMN()&gt;19,2,1))-IF(LEFT(G$7,2)="to",1,0),RatesTable[],IF(LEFT(G$7,2)="in",6,7),0))=0,"",VLOOKUP($B114&amp;$C114&amp;$C114+MID(G$7,4,IF(COLUMN()&gt;19,2,1))-IF(LEFT(G$7,2)="to",1,0),RatesTable[],IF(LEFT(G$7,2)="in",6,7),0)),"")</f>
        <v/>
      </c>
      <c r="H114" s="207"/>
      <c r="I114" s="207"/>
      <c r="J114" s="207"/>
      <c r="K114" s="207"/>
      <c r="L114" s="207"/>
      <c r="M114" s="207"/>
      <c r="N114" s="207"/>
      <c r="O114" s="86"/>
      <c r="P114" s="86"/>
      <c r="Q114" s="87"/>
      <c r="R114" s="87"/>
      <c r="V114" s="123"/>
      <c r="W114" s="16"/>
      <c r="X114" s="139"/>
      <c r="Y114" s="16"/>
    </row>
    <row r="115" spans="1:40" s="16" customFormat="1" ht="15" customHeight="1" x14ac:dyDescent="0.2">
      <c r="A115" s="141" t="str">
        <f t="shared" si="2"/>
        <v>0053</v>
      </c>
      <c r="B115" s="101" t="s">
        <v>135</v>
      </c>
      <c r="C115" s="102">
        <v>2008</v>
      </c>
      <c r="D115" s="58">
        <f>IFERROR(IF(LEN(VLOOKUP($B115&amp;$C115,HeadcountAndScoresTable[],IF(D$7="Count",5,IF(D$7="ACT",6,7)),0))=0,"",VLOOKUP($B115&amp;$C115,HeadcountAndScoresTable[],IF(D$7="Count",5,IF(D$7="ACT",6,7)),0)),"")</f>
        <v>26</v>
      </c>
      <c r="E115" s="98">
        <f>IFERROR(IF(LEN(VLOOKUP($B115&amp;$C115,HeadcountAndScoresTable[],IF(E$7="Count",5,IF(E$7="ACT",6,7)),0))=0,"",VLOOKUP($B115&amp;$C115,HeadcountAndScoresTable[],IF(E$7="Count",5,IF(E$7="ACT",6,7)),0)),"")</f>
        <v>22.9</v>
      </c>
      <c r="F115" s="99" t="str">
        <f>IFERROR(IF(LEN(VLOOKUP($B115&amp;$C115,HeadcountAndScoresTable[],IF(F$7="Count",5,IF(F$7="ACT",6,7)),0))=0,"",VLOOKUP($B115&amp;$C115,HeadcountAndScoresTable[],IF(F$7="Count",5,IF(F$7="ACT",6,7)),0)),"")</f>
        <v/>
      </c>
      <c r="G115" s="61">
        <f>IFERROR(IF(LEN(VLOOKUP($B115&amp;$C115&amp;$C115+MID(G$7,4,IF(COLUMN()&gt;19,2,1))-IF(LEFT(G$7,2)="to",1,0),RatesTable[],IF(LEFT(G$7,2)="in",6,7),0))=0,"",VLOOKUP($B115&amp;$C115&amp;$C115+MID(G$7,4,IF(COLUMN()&gt;19,2,1))-IF(LEFT(G$7,2)="to",1,0),RatesTable[],IF(LEFT(G$7,2)="in",6,7),0)),"")</f>
        <v>0.76900000000000002</v>
      </c>
      <c r="H115" s="70">
        <f>IFERROR(IF(LEN(VLOOKUP($B115&amp;$C115&amp;$C115+MID(H$7,4,IF(COLUMN()&gt;19,2,1))-IF(LEFT(H$7,2)="to",1,0),RatesTable[],IF(LEFT(H$7,2)="in",6,7),0))=0,"",VLOOKUP($B115&amp;$C115&amp;$C115+MID(H$7,4,IF(COLUMN()&gt;19,2,1))-IF(LEFT(H$7,2)="to",1,0),RatesTable[],IF(LEFT(H$7,2)="in",6,7),0)),"")</f>
        <v>0.69199999999999995</v>
      </c>
      <c r="I115" s="71">
        <f>IFERROR(IF(LEN(VLOOKUP($B115&amp;$C115&amp;$C115+MID(I$7,4,IF(COLUMN()&gt;19,2,1))-IF(LEFT(I$7,2)="to",1,0),RatesTable[],IF(LEFT(I$7,2)="in",6,7),0))=0,"",VLOOKUP($B115&amp;$C115&amp;$C115+MID(I$7,4,IF(COLUMN()&gt;19,2,1))-IF(LEFT(I$7,2)="to",1,0),RatesTable[],IF(LEFT(I$7,2)="in",6,7),0)),"")</f>
        <v>0.34599999999999997</v>
      </c>
      <c r="J115" s="71">
        <f>IFERROR(IF(LEN(VLOOKUP($B115&amp;$C115&amp;$C115+MID(J$7,4,IF(COLUMN()&gt;19,2,1))-IF(LEFT(J$7,2)="to",1,0),RatesTable[],IF(LEFT(J$7,2)="in",6,7),0))=0,"",VLOOKUP($B115&amp;$C115&amp;$C115+MID(J$7,4,IF(COLUMN()&gt;19,2,1))-IF(LEFT(J$7,2)="to",1,0),RatesTable[],IF(LEFT(J$7,2)="in",6,7),0)),"")</f>
        <v>0.26900000000000002</v>
      </c>
      <c r="K115" s="63">
        <f>IFERROR(IF(LEN(VLOOKUP($B115&amp;$C115&amp;$C115+MID(K$7,4,IF(COLUMN()&gt;19,2,1))-IF(LEFT(K$7,2)="to",1,0),RatesTable[],IF(LEFT(K$7,2)="in",6,7),0))=0,"",VLOOKUP($B115&amp;$C115&amp;$C115+MID(K$7,4,IF(COLUMN()&gt;19,2,1))-IF(LEFT(K$7,2)="to",1,0),RatesTable[],IF(LEFT(K$7,2)="in",6,7),0)),"")</f>
        <v>0.46200000000000002</v>
      </c>
      <c r="L115" s="63">
        <f>IFERROR(IF(LEN(VLOOKUP($B115&amp;$C115&amp;$C115+MID(L$7,4,IF(COLUMN()&gt;19,2,1))-IF(LEFT(L$7,2)="to",1,0),RatesTable[],IF(LEFT(L$7,2)="in",6,7),0))=0,"",VLOOKUP($B115&amp;$C115&amp;$C115+MID(L$7,4,IF(COLUMN()&gt;19,2,1))-IF(LEFT(L$7,2)="to",1,0),RatesTable[],IF(LEFT(L$7,2)="in",6,7),0)),"")</f>
        <v>0.154</v>
      </c>
      <c r="M115" s="63">
        <f>15/26</f>
        <v>0.57692307692307687</v>
      </c>
      <c r="N115" s="63">
        <f>1/26</f>
        <v>3.8461538461538464E-2</v>
      </c>
      <c r="O115" s="86"/>
      <c r="P115" s="86"/>
      <c r="Q115" s="87"/>
      <c r="R115" s="87"/>
      <c r="S115" s="84"/>
      <c r="T115" s="84"/>
      <c r="U115" s="84"/>
      <c r="V115" s="123"/>
      <c r="X115" s="139"/>
    </row>
    <row r="116" spans="1:40" ht="15" customHeight="1" x14ac:dyDescent="0.2">
      <c r="A116" s="141" t="str">
        <f t="shared" si="2"/>
        <v>0053</v>
      </c>
      <c r="B116" s="101" t="s">
        <v>135</v>
      </c>
      <c r="C116" s="102">
        <v>2009</v>
      </c>
      <c r="D116" s="58">
        <f>IFERROR(IF(LEN(VLOOKUP($B116&amp;$C116,HeadcountAndScoresTable[],IF(D$7="Count",5,IF(D$7="ACT",6,7)),0))=0,"",VLOOKUP($B116&amp;$C116,HeadcountAndScoresTable[],IF(D$7="Count",5,IF(D$7="ACT",6,7)),0)),"")</f>
        <v>16</v>
      </c>
      <c r="E116" s="98">
        <f>IFERROR(IF(LEN(VLOOKUP($B116&amp;$C116,HeadcountAndScoresTable[],IF(E$7="Count",5,IF(E$7="ACT",6,7)),0))=0,"",VLOOKUP($B116&amp;$C116,HeadcountAndScoresTable[],IF(E$7="Count",5,IF(E$7="ACT",6,7)),0)),"")</f>
        <v>18.7</v>
      </c>
      <c r="F116" s="99" t="str">
        <f>IFERROR(IF(LEN(VLOOKUP($B116&amp;$C116,HeadcountAndScoresTable[],IF(F$7="Count",5,IF(F$7="ACT",6,7)),0))=0,"",VLOOKUP($B116&amp;$C116,HeadcountAndScoresTable[],IF(F$7="Count",5,IF(F$7="ACT",6,7)),0)),"")</f>
        <v/>
      </c>
      <c r="G116" s="61">
        <f>IFERROR(IF(LEN(VLOOKUP($B116&amp;$C116&amp;$C116+MID(G$7,4,IF(COLUMN()&gt;19,2,1))-IF(LEFT(G$7,2)="to",1,0),RatesTable[],IF(LEFT(G$7,2)="in",6,7),0))=0,"",VLOOKUP($B116&amp;$C116&amp;$C116+MID(G$7,4,IF(COLUMN()&gt;19,2,1))-IF(LEFT(G$7,2)="to",1,0),RatesTable[],IF(LEFT(G$7,2)="in",6,7),0)),"")</f>
        <v>0.56299999999999994</v>
      </c>
      <c r="H116" s="71">
        <f>IFERROR(IF(LEN(VLOOKUP($B116&amp;$C116&amp;$C116+MID(H$7,4,IF(COLUMN()&gt;19,2,1))-IF(LEFT(H$7,2)="to",1,0),RatesTable[],IF(LEFT(H$7,2)="in",6,7),0))=0,"",VLOOKUP($B116&amp;$C116&amp;$C116+MID(H$7,4,IF(COLUMN()&gt;19,2,1))-IF(LEFT(H$7,2)="to",1,0),RatesTable[],IF(LEFT(H$7,2)="in",6,7),0)),"")</f>
        <v>0.313</v>
      </c>
      <c r="I116" s="63">
        <f>IFERROR(IF(LEN(VLOOKUP($B116&amp;$C116&amp;$C116+MID(I$7,4,IF(COLUMN()&gt;19,2,1))-IF(LEFT(I$7,2)="to",1,0),RatesTable[],IF(LEFT(I$7,2)="in",6,7),0))=0,"",VLOOKUP($B116&amp;$C116&amp;$C116+MID(I$7,4,IF(COLUMN()&gt;19,2,1))-IF(LEFT(I$7,2)="to",1,0),RatesTable[],IF(LEFT(I$7,2)="in",6,7),0)),"")</f>
        <v>6.3E-2</v>
      </c>
      <c r="J116" s="63">
        <f>IFERROR(IF(LEN(VLOOKUP($B116&amp;$C116&amp;$C116+MID(J$7,4,IF(COLUMN()&gt;19,2,1))-IF(LEFT(J$7,2)="to",1,0),RatesTable[],IF(LEFT(J$7,2)="in",6,7),0))=0,"",VLOOKUP($B116&amp;$C116&amp;$C116+MID(J$7,4,IF(COLUMN()&gt;19,2,1))-IF(LEFT(J$7,2)="to",1,0),RatesTable[],IF(LEFT(J$7,2)="in",6,7),0)),"")</f>
        <v>0.188</v>
      </c>
      <c r="K116" s="63">
        <f>1/16</f>
        <v>6.25E-2</v>
      </c>
      <c r="L116" s="63">
        <f>1/16</f>
        <v>6.25E-2</v>
      </c>
      <c r="M116" s="207"/>
      <c r="N116" s="207"/>
      <c r="O116" s="86"/>
      <c r="P116" s="86"/>
      <c r="Q116" s="87"/>
      <c r="R116" s="87"/>
      <c r="V116" s="123"/>
      <c r="W116" s="16"/>
      <c r="X116" s="139"/>
      <c r="Y116" s="16"/>
    </row>
    <row r="117" spans="1:40" ht="15" customHeight="1" x14ac:dyDescent="0.2">
      <c r="A117" s="141" t="str">
        <f t="shared" si="2"/>
        <v>0053</v>
      </c>
      <c r="B117" s="101" t="s">
        <v>135</v>
      </c>
      <c r="C117" s="102">
        <v>2010</v>
      </c>
      <c r="D117" s="58">
        <f>IFERROR(IF(LEN(VLOOKUP($B117&amp;$C117,HeadcountAndScoresTable[],IF(D$7="Count",5,IF(D$7="ACT",6,7)),0))=0,"",VLOOKUP($B117&amp;$C117,HeadcountAndScoresTable[],IF(D$7="Count",5,IF(D$7="ACT",6,7)),0)),"")</f>
        <v>17</v>
      </c>
      <c r="E117" s="98">
        <f>IFERROR(IF(LEN(VLOOKUP($B117&amp;$C117,HeadcountAndScoresTable[],IF(E$7="Count",5,IF(E$7="ACT",6,7)),0))=0,"",VLOOKUP($B117&amp;$C117,HeadcountAndScoresTable[],IF(E$7="Count",5,IF(E$7="ACT",6,7)),0)),"")</f>
        <v>22</v>
      </c>
      <c r="F117" s="99" t="str">
        <f>IFERROR(IF(LEN(VLOOKUP($B117&amp;$C117,HeadcountAndScoresTable[],IF(F$7="Count",5,IF(F$7="ACT",6,7)),0))=0,"",VLOOKUP($B117&amp;$C117,HeadcountAndScoresTable[],IF(F$7="Count",5,IF(F$7="ACT",6,7)),0)),"")</f>
        <v/>
      </c>
      <c r="G117" s="61">
        <f>IFERROR(IF(LEN(VLOOKUP($B117&amp;$C117&amp;$C117+MID(G$7,4,IF(COLUMN()&gt;19,2,1))-IF(LEFT(G$7,2)="to",1,0),RatesTable[],IF(LEFT(G$7,2)="in",6,7),0))=0,"",VLOOKUP($B117&amp;$C117&amp;$C117+MID(G$7,4,IF(COLUMN()&gt;19,2,1))-IF(LEFT(G$7,2)="to",1,0),RatesTable[],IF(LEFT(G$7,2)="in",6,7),0)),"")</f>
        <v>0.58799999999999997</v>
      </c>
      <c r="H117" s="71">
        <f>IFERROR(IF(LEN(VLOOKUP($B117&amp;$C117&amp;$C117+MID(H$7,4,IF(COLUMN()&gt;19,2,1))-IF(LEFT(H$7,2)="to",1,0),RatesTable[],IF(LEFT(H$7,2)="in",6,7),0))=0,"",VLOOKUP($B117&amp;$C117&amp;$C117+MID(H$7,4,IF(COLUMN()&gt;19,2,1))-IF(LEFT(H$7,2)="to",1,0),RatesTable[],IF(LEFT(H$7,2)="in",6,7),0)),"")</f>
        <v>0.52900000000000003</v>
      </c>
      <c r="I117" s="63">
        <f>2/17</f>
        <v>0.11764705882352941</v>
      </c>
      <c r="J117" s="63">
        <f>5/17</f>
        <v>0.29411764705882354</v>
      </c>
      <c r="K117" s="207"/>
      <c r="L117" s="207"/>
      <c r="M117" s="207"/>
      <c r="N117" s="207"/>
      <c r="O117" s="86"/>
      <c r="P117" s="86"/>
      <c r="Q117" s="87"/>
      <c r="R117" s="87"/>
      <c r="V117" s="123"/>
      <c r="W117" s="16"/>
      <c r="X117" s="139"/>
      <c r="Y117" s="16"/>
    </row>
    <row r="118" spans="1:40" ht="15" customHeight="1" x14ac:dyDescent="0.2">
      <c r="A118" s="31" t="str">
        <f t="shared" si="2"/>
        <v>0053</v>
      </c>
      <c r="B118" s="101" t="s">
        <v>135</v>
      </c>
      <c r="C118" s="97">
        <v>2011</v>
      </c>
      <c r="D118" s="58">
        <f>IFERROR(IF(LEN(VLOOKUP($B118&amp;$C118,HeadcountAndScoresTable[],IF(D$7="Count",5,IF(D$7="ACT",6,7)),0))=0,"",VLOOKUP($B118&amp;$C118,HeadcountAndScoresTable[],IF(D$7="Count",5,IF(D$7="ACT",6,7)),0)),"")</f>
        <v>19</v>
      </c>
      <c r="E118" s="98">
        <f>IFERROR(IF(LEN(VLOOKUP($B118&amp;$C118,HeadcountAndScoresTable[],IF(E$7="Count",5,IF(E$7="ACT",6,7)),0))=0,"",VLOOKUP($B118&amp;$C118,HeadcountAndScoresTable[],IF(E$7="Count",5,IF(E$7="ACT",6,7)),0)),"")</f>
        <v>21.2</v>
      </c>
      <c r="F118" s="99" t="str">
        <f>IFERROR(IF(LEN(VLOOKUP($B118&amp;$C118,HeadcountAndScoresTable[],IF(F$7="Count",5,IF(F$7="ACT",6,7)),0))=0,"",VLOOKUP($B118&amp;$C118,HeadcountAndScoresTable[],IF(F$7="Count",5,IF(F$7="ACT",6,7)),0)),"")</f>
        <v/>
      </c>
      <c r="G118" s="100">
        <f>IFERROR(IF(LEN(VLOOKUP($B118&amp;$C118&amp;$C118+MID(G$7,4,IF(COLUMN()&gt;19,2,1))-IF(LEFT(G$7,2)="to",1,0),RatesTable[],IF(LEFT(G$7,2)="in",6,7),0))=0,"",VLOOKUP($B118&amp;$C118&amp;$C118+MID(G$7,4,IF(COLUMN()&gt;19,2,1))-IF(LEFT(G$7,2)="to",1,0),RatesTable[],IF(LEFT(G$7,2)="in",6,7),0)),"")</f>
        <v>0.42099999999999999</v>
      </c>
      <c r="H118" s="63">
        <f>IFERROR(IF(LEN(VLOOKUP($B118&amp;$C118&amp;$C118+MID(H$7,4,IF(COLUMN()&gt;19,2,1))-IF(LEFT(H$7,2)="to",1,0),RatesTable[],IF(LEFT(H$7,2)="in",6,7),0))=0,"",VLOOKUP($B118&amp;$C118&amp;$C118+MID(H$7,4,IF(COLUMN()&gt;19,2,1))-IF(LEFT(H$7,2)="to",1,0),RatesTable[],IF(LEFT(H$7,2)="in",6,7),0)),"")</f>
        <v>0.316</v>
      </c>
      <c r="I118" s="207"/>
      <c r="J118" s="207"/>
      <c r="K118" s="207"/>
      <c r="L118" s="207"/>
      <c r="M118" s="207"/>
      <c r="N118" s="207"/>
      <c r="O118" s="86"/>
      <c r="P118" s="86"/>
      <c r="Q118" s="87"/>
      <c r="R118" s="87"/>
      <c r="V118" s="84"/>
      <c r="W118" s="16"/>
      <c r="X118" s="139"/>
      <c r="Y118" s="16"/>
      <c r="Z118" s="16"/>
      <c r="AA118" s="16"/>
      <c r="AB118" s="16"/>
      <c r="AC118" s="16"/>
      <c r="AD118" s="16"/>
      <c r="AE118" s="16"/>
      <c r="AF118" s="16"/>
      <c r="AG118" s="16"/>
      <c r="AH118" s="16"/>
      <c r="AI118" s="16"/>
      <c r="AJ118" s="16"/>
      <c r="AK118" s="16"/>
      <c r="AL118" s="16"/>
      <c r="AM118" s="16"/>
      <c r="AN118" s="16"/>
    </row>
    <row r="119" spans="1:40" x14ac:dyDescent="0.2">
      <c r="A119" s="188" t="str">
        <f t="shared" si="2"/>
        <v>0053</v>
      </c>
      <c r="B119" s="187" t="s">
        <v>135</v>
      </c>
      <c r="C119" s="37">
        <v>2012</v>
      </c>
      <c r="D119" s="58">
        <f>IFERROR(IF(LEN(VLOOKUP($B119&amp;$C119,HeadcountAndScoresTable[],IF(D$7="Count",5,IF(D$7="ACT",6,7)),0))=0,"",VLOOKUP($B119&amp;$C119,HeadcountAndScoresTable[],IF(D$7="Count",5,IF(D$7="ACT",6,7)),0)),"")</f>
        <v>23</v>
      </c>
      <c r="E119" s="225">
        <f>IFERROR(IF(LEN(VLOOKUP($B119&amp;$C119,HeadcountAndScoresTable[],IF(E$7="Count",5,IF(E$7="ACT",6,7)),0))=0,"",VLOOKUP($B119&amp;$C119,HeadcountAndScoresTable[],IF(E$7="Count",5,IF(E$7="ACT",6,7)),0)),"")</f>
        <v>22.3</v>
      </c>
      <c r="F119" s="226" t="str">
        <f>IFERROR(IF(LEN(VLOOKUP($B119&amp;$C119,HeadcountAndScoresTable[],IF(F$7="Count",5,IF(F$7="ACT",6,7)),0))=0,"",VLOOKUP($B119&amp;$C119,HeadcountAndScoresTable[],IF(F$7="Count",5,IF(F$7="ACT",6,7)),0)),"")</f>
        <v/>
      </c>
      <c r="G119" s="227">
        <f>IFERROR(IF(LEN(VLOOKUP($B119&amp;$C119&amp;$C119+MID(G$7,4,IF(COLUMN()&gt;19,2,1))-IF(LEFT(G$7,2)="to",1,0),RatesTable[],IF(LEFT(G$7,2)="in",6,7),0))=0,"",VLOOKUP($B119&amp;$C119&amp;$C119+MID(G$7,4,IF(COLUMN()&gt;19,2,1))-IF(LEFT(G$7,2)="to",1,0),RatesTable[],IF(LEFT(G$7,2)="in",6,7),0)),"")</f>
        <v>0.60899999999999999</v>
      </c>
      <c r="H119" s="228">
        <f>13/23</f>
        <v>0.56521739130434778</v>
      </c>
      <c r="I119" s="229"/>
      <c r="J119" s="229"/>
      <c r="K119" s="229"/>
      <c r="L119" s="229"/>
      <c r="M119" s="229"/>
      <c r="N119" s="229"/>
    </row>
    <row r="120" spans="1:40" x14ac:dyDescent="0.2">
      <c r="A120" s="188" t="str">
        <f t="shared" si="2"/>
        <v>0053</v>
      </c>
      <c r="B120" s="187" t="s">
        <v>135</v>
      </c>
      <c r="C120" s="37">
        <v>2013</v>
      </c>
      <c r="D120" s="58">
        <v>40</v>
      </c>
      <c r="E120" s="225">
        <v>22.9</v>
      </c>
      <c r="F120" s="226" t="str">
        <f>IFERROR(IF(LEN(VLOOKUP($B120&amp;$C120,HeadcountAndScoresTable[],IF(F$7="Count",5,IF(F$7="ACT",6,7)),0))=0,"",VLOOKUP($B120&amp;$C120,HeadcountAndScoresTable[],IF(F$7="Count",5,IF(F$7="ACT",6,7)),0)),"")</f>
        <v/>
      </c>
      <c r="G120" s="227">
        <f>32/40</f>
        <v>0.8</v>
      </c>
      <c r="H120" s="229"/>
      <c r="I120" s="229"/>
      <c r="J120" s="229"/>
      <c r="K120" s="229"/>
      <c r="L120" s="229"/>
      <c r="M120" s="229"/>
      <c r="N120" s="229"/>
    </row>
    <row r="123" spans="1:40" x14ac:dyDescent="0.2">
      <c r="A123" s="292" t="s">
        <v>73</v>
      </c>
      <c r="B123" s="292"/>
    </row>
    <row r="124" spans="1:40" x14ac:dyDescent="0.2">
      <c r="A124" s="269"/>
      <c r="B124" s="270"/>
      <c r="C124" s="270"/>
      <c r="D124" s="270"/>
      <c r="E124" s="270"/>
      <c r="F124" s="270"/>
      <c r="G124" s="270"/>
      <c r="H124" s="270"/>
      <c r="I124" s="270"/>
      <c r="J124" s="270"/>
      <c r="K124" s="270"/>
      <c r="L124" s="270"/>
      <c r="M124" s="270"/>
      <c r="N124" s="271"/>
    </row>
    <row r="125" spans="1:40" x14ac:dyDescent="0.2">
      <c r="A125" s="272"/>
      <c r="B125" s="273"/>
      <c r="C125" s="273"/>
      <c r="D125" s="273"/>
      <c r="E125" s="273"/>
      <c r="F125" s="273"/>
      <c r="G125" s="273"/>
      <c r="H125" s="273"/>
      <c r="I125" s="273"/>
      <c r="J125" s="273"/>
      <c r="K125" s="273"/>
      <c r="L125" s="273"/>
      <c r="M125" s="273"/>
      <c r="N125" s="274"/>
    </row>
    <row r="126" spans="1:40" x14ac:dyDescent="0.2">
      <c r="A126" s="272"/>
      <c r="B126" s="273"/>
      <c r="C126" s="273"/>
      <c r="D126" s="273"/>
      <c r="E126" s="273"/>
      <c r="F126" s="273"/>
      <c r="G126" s="273"/>
      <c r="H126" s="273"/>
      <c r="I126" s="273"/>
      <c r="J126" s="273"/>
      <c r="K126" s="273"/>
      <c r="L126" s="273"/>
      <c r="M126" s="273"/>
      <c r="N126" s="274"/>
    </row>
    <row r="127" spans="1:40" x14ac:dyDescent="0.2">
      <c r="A127" s="272"/>
      <c r="B127" s="273"/>
      <c r="C127" s="273"/>
      <c r="D127" s="273"/>
      <c r="E127" s="273"/>
      <c r="F127" s="273"/>
      <c r="G127" s="273"/>
      <c r="H127" s="273"/>
      <c r="I127" s="273"/>
      <c r="J127" s="273"/>
      <c r="K127" s="273"/>
      <c r="L127" s="273"/>
      <c r="M127" s="273"/>
      <c r="N127" s="274"/>
    </row>
    <row r="128" spans="1:40" x14ac:dyDescent="0.2">
      <c r="A128" s="272"/>
      <c r="B128" s="273"/>
      <c r="C128" s="273"/>
      <c r="D128" s="273"/>
      <c r="E128" s="273"/>
      <c r="F128" s="273"/>
      <c r="G128" s="273"/>
      <c r="H128" s="273"/>
      <c r="I128" s="273"/>
      <c r="J128" s="273"/>
      <c r="K128" s="273"/>
      <c r="L128" s="273"/>
      <c r="M128" s="273"/>
      <c r="N128" s="274"/>
    </row>
    <row r="129" spans="1:14" x14ac:dyDescent="0.2">
      <c r="A129" s="275"/>
      <c r="B129" s="276"/>
      <c r="C129" s="276"/>
      <c r="D129" s="276"/>
      <c r="E129" s="276"/>
      <c r="F129" s="276"/>
      <c r="G129" s="276"/>
      <c r="H129" s="276"/>
      <c r="I129" s="276"/>
      <c r="J129" s="276"/>
      <c r="K129" s="276"/>
      <c r="L129" s="276"/>
      <c r="M129" s="276"/>
      <c r="N129" s="277"/>
    </row>
  </sheetData>
  <sheetProtection password="C634" sheet="1" objects="1" scenarios="1" selectLockedCells="1"/>
  <mergeCells count="13">
    <mergeCell ref="A124:N129"/>
    <mergeCell ref="E6:F6"/>
    <mergeCell ref="A1:C1"/>
    <mergeCell ref="U4:V4"/>
    <mergeCell ref="B4:J4"/>
    <mergeCell ref="Q1:V1"/>
    <mergeCell ref="D1:J1"/>
    <mergeCell ref="Q4:T4"/>
    <mergeCell ref="Q2:V2"/>
    <mergeCell ref="Q3:V3"/>
    <mergeCell ref="G5:V5"/>
    <mergeCell ref="A123:B123"/>
    <mergeCell ref="A2:J2"/>
  </mergeCells>
  <phoneticPr fontId="0" type="noConversion"/>
  <conditionalFormatting sqref="F1:F158">
    <cfRule type="expression" dxfId="46" priority="66">
      <formula>AND(OR(F1&gt;1508,F1&lt;567),LEN(F1)&gt;0,OR($B1="Total",$B1="Female",$B1="Male",$B1="Black",$B1="Hisp",$B1="Asian",$B1="A I",$B1="White",$B1="N R",$B1="Unknown",$B1="Hawaiian",$B1="Multi"))</formula>
    </cfRule>
  </conditionalFormatting>
  <conditionalFormatting sqref="E1:E158">
    <cfRule type="expression" dxfId="45" priority="34">
      <formula>AND(OR(E1&gt;34,E1&lt;10),LEN(E1)&gt;0,OR($B1="Total",$B1="Female",$B1="Male",$B1="Black",$B1="Hisp",$B1="Asian",$B1="A I",$B1="White",$B1="N R",$B1="Unknown",$B1="Hawaiian",$B1="Multi"))</formula>
    </cfRule>
  </conditionalFormatting>
  <conditionalFormatting sqref="H1:H158">
    <cfRule type="expression" dxfId="44" priority="250">
      <formula>AND(($H1-$G1)&gt;0.01*$G1,NOT(LEN(G1)=0),OR($B1="Total",$B1="Female",$B1="Male",$B1="Black",$B1="Hisp",$B1="Asian",$B1="A I",$B1="White",$B1="N R",$B1="Unknown",$B1="Hawaiian",$B1="Multi"))</formula>
    </cfRule>
  </conditionalFormatting>
  <conditionalFormatting sqref="K1:K158 M1:M158 O1:O158 Q1:Q158 S1:S158 U1:U158">
    <cfRule type="expression" dxfId="43" priority="13">
      <formula>AND(IF(COLUMN(K1)&lt;22,ROUND(K1,3)&lt;ROUND(I1,3),FALSE),OR($B1="Total",$B1="Female",$B1="Male",$B1="Black",$B1="Hisp",$B1="Asian",$B1="A I",$B1="White",$B1="N R",$B1="Unknown",$B1="Hawaiian",$B1="Multi"))</formula>
    </cfRule>
  </conditionalFormatting>
  <conditionalFormatting sqref="E1:V158">
    <cfRule type="expression" dxfId="42" priority="10">
      <formula>AND(OR(LEN($D1)=0,$D1=0),LEN(E1)&lt;&gt;0,OR($B1="Total",$B1="Female",$B1="Male",$B1="Black",$B1="Hisp",$B1="Asian",$B1="A I",$B1="White",$B1="N R",$B1="Unknown",$B1="Hawaiian",$B1="Multi"))</formula>
    </cfRule>
  </conditionalFormatting>
  <conditionalFormatting sqref="H1:V158">
    <cfRule type="expression" dxfId="41" priority="9" stopIfTrue="1">
      <formula>COLUMN(H1)&gt;=CHOOSE($C1-MIN($C$20:$C$50)+1,99,21,19,17,15,13,11,9,9,8)</formula>
    </cfRule>
  </conditionalFormatting>
  <conditionalFormatting sqref="A1:V158">
    <cfRule type="expression" dxfId="40" priority="7">
      <formula>AND($B1&lt;&gt;$B2,AND(ROW($A1)&lt;121,ROW($A1)&gt;6))</formula>
    </cfRule>
  </conditionalFormatting>
  <conditionalFormatting sqref="I1:I158 K1:K158 M1:M158 O1:O158 Q1:Q158 S1:S158 U1:U158">
    <cfRule type="expression" dxfId="39" priority="16">
      <formula>AND(I1+J1&gt;1,OR($B1="Total",$B1="Female",$B1="Male",$B1="Black",$B1="Hisp",$B1="Asian",$B1="A I",$B1="White",$B1="N R",$B1="Unknown",$B1="Hawaiian",$B1="Multi"))</formula>
    </cfRule>
  </conditionalFormatting>
  <conditionalFormatting sqref="D1:D158 G1:V158">
    <cfRule type="expression" dxfId="38" priority="240">
      <formula>AND(OR(AND($D1&lt;&gt;0,LEN(D1)=0),$D1=""),OR($B1="Total",$B1="Female",$B1="Male",$B1="Black",$B1="Hisp",$B1="Asian",$B1="A I",$B1="White",$B1="N R",$B1="Unknown",$B1="Hawaiian",$B1="Multi"))</formula>
    </cfRule>
  </conditionalFormatting>
  <conditionalFormatting sqref="G1:V158">
    <cfRule type="expression" dxfId="37" priority="241">
      <formula>AND(OR(G1&gt;1,G1&lt;0),LEN(G1)&gt;0,OR($B1="Total",$B1="Female",$B1="Male",$B1="Black",$B1="Hisp",$B1="Asian",$B1="A I",$B1="White",$B1="N R",$B1="Unknown",$B1="Hawaiian",$B1="Multi"))</formula>
    </cfRule>
    <cfRule type="expression" dxfId="36" priority="18">
      <formula>AND($D1&gt;0,LEN($D1)&gt;0,OR($B1="Total",$B1="Female",$B1="Male"),ABS(SUMIFS(G$1:G$158,$B$1:$B$158,"Total",$C$1:$C$158,$C1)*SUMIFS($D$1:$D$158,$B$1:$B$158,"Total",$C$1:$C$158,$C1)-(SUMIFS(G$1:G$158,$B$1:$B$158,"Female",$C$1:$C$158,$C1)*SUMIFS($D$1:$D$158,$B$1:$B$158,"Female",$C$1:$C$158,$C1)+SUMIFS(G$1:G$158,$B$1:$B$158,"Male",$C$1:$C$158,$C1)*SUMIFS($D$1:$D$158,$B$1:$B$158,"Male",$C$1:$C$158,$C1)))&gt;=(SUMIFS($D$1:$D$158,$B$1:$B$158,"Total",$C$1:$C$158,$C1)*0.01))</formula>
    </cfRule>
  </conditionalFormatting>
  <conditionalFormatting sqref="D1:D158">
    <cfRule type="expression" dxfId="35" priority="23" stopIfTrue="1">
      <formula>AND(SUMIFS(D$1:D$158,B$1:B$158,"Total",C$1:C$158,C1)-(SUMIF(C$1:C$158,C1,D$1:D$158)-SUMIFS(D$1:D$158,B$1:B$158,"Male",C$1:C$158,C1)-SUMIFS(D$1:D$158,B$1:B$158,"Female",C$1:C$158,C1)-SUMIFS(D$1:D$158,B$1:B$158,"Total",C$1:C$158,C1))&lt;&gt;0,OR(B1="Black",B1="Hisp",B1="Asian",B1="A I",B1="White",B1="N R",B1="Unknown",B1="Hawaiian",B1="Multi"))</formula>
    </cfRule>
    <cfRule type="expression" dxfId="34" priority="21" stopIfTrue="1">
      <formula>AND(SUMIFS(D$1:D$158,B$1:B$158,"Male",C$1:C$158,C1)+SUMIFS(D$1:D$158,B$1:B$158,"Female",C$1:C$158,C1)-SUMIFS(D$1:D$158,B$1:B$158,"Total",C$1:C$158,C1)&lt;&gt;0,OR($B1="Total",$B1="Female",$B1="Male"))</formula>
    </cfRule>
  </conditionalFormatting>
  <conditionalFormatting sqref="A1:W7 A8:V17 A18:W158">
    <cfRule type="expression" dxfId="33" priority="1">
      <formula>AND(OR(COLUMN(A$1)=1,COLUMN(A$1)=23),AND(ROW($A1)&lt;121,ROW($A1)&gt;7))</formula>
    </cfRule>
  </conditionalFormatting>
  <conditionalFormatting sqref="J1:J158 L1:L158 N1:N158 P1:P158 R1:R158 V1:V158 T1:T158">
    <cfRule type="expression" dxfId="32" priority="251">
      <formula>AND((J1-H1)&gt;H1*0.01,NOT(LEN(J1)=0),OR($B1="Total",$B1="Female",$B1="Male",$B1="Black",$B1="Hisp",$B1="Asian",$B1="A I",$B1="White",$B1="N R",$B1="Unknown",$B1="Hawaiian",$B1="Multi"))</formula>
    </cfRule>
    <cfRule type="expression" dxfId="31" priority="15">
      <formula>AND(I1+J1&gt;1,OR($B1="Total",$B1="Female",$B1="Male",$B1="Black",$B1="Hisp",$B1="Asian",$B1="A I",$B1="White",$B1="N R",$B1="Unknown",$B1="Hawaiian",$B1="Multi"))</formula>
    </cfRule>
  </conditionalFormatting>
  <hyperlinks>
    <hyperlink ref="P4:Q4" location="Instructions!A1" display="Unprotect sheet"/>
  </hyperlinks>
  <printOptions horizontalCentered="1"/>
  <pageMargins left="0.25" right="0.25" top="1" bottom="0.5" header="0.5" footer="0.25"/>
  <pageSetup scale="60" orientation="landscape" verticalDpi="2" r:id="rId1"/>
  <headerFooter alignWithMargins="0">
    <oddHeader>&amp;C&amp;"Arial,Bold" &amp;"Arial,Regular"  2014-15 CSRDE Retention Survey</oddHeader>
    <oddFooter>&amp;L&amp;8© C-IDEA, The University of Oklahoma, 12/14/14</oddFooter>
  </headerFooter>
  <rowBreaks count="2" manualBreakCount="2">
    <brk id="37" max="19" man="1"/>
    <brk id="77" max="19"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pageSetUpPr fitToPage="1"/>
  </sheetPr>
  <dimension ref="A1:K793"/>
  <sheetViews>
    <sheetView zoomScaleNormal="100" workbookViewId="0">
      <selection activeCell="M14" sqref="M14"/>
    </sheetView>
  </sheetViews>
  <sheetFormatPr defaultColWidth="9.140625" defaultRowHeight="12.75" x14ac:dyDescent="0.2"/>
  <cols>
    <col min="1" max="1" width="9.140625" style="141"/>
    <col min="2" max="2" width="16.42578125" style="141" bestFit="1" customWidth="1"/>
    <col min="3" max="5" width="12.85546875" style="141" customWidth="1"/>
    <col min="6" max="6" width="18.28515625" style="141" customWidth="1"/>
    <col min="7" max="8" width="14" style="141" customWidth="1"/>
    <col min="9" max="16384" width="9.140625" style="141"/>
  </cols>
  <sheetData>
    <row r="1" spans="1:11" ht="45.75" customHeight="1" x14ac:dyDescent="0.2">
      <c r="A1" s="294" t="s">
        <v>912</v>
      </c>
      <c r="B1" s="294"/>
      <c r="C1" s="294"/>
      <c r="D1" s="294"/>
      <c r="E1" s="294"/>
      <c r="F1" s="294"/>
      <c r="G1" s="294"/>
      <c r="H1" s="294"/>
      <c r="I1" s="294"/>
      <c r="J1" s="294"/>
      <c r="K1" s="294"/>
    </row>
    <row r="2" spans="1:11" ht="45.75" customHeight="1" x14ac:dyDescent="0.2">
      <c r="A2" s="294"/>
      <c r="B2" s="294"/>
      <c r="C2" s="294"/>
      <c r="D2" s="294"/>
      <c r="E2" s="294"/>
      <c r="F2" s="294"/>
      <c r="G2" s="294"/>
      <c r="H2" s="294"/>
      <c r="I2" s="294"/>
      <c r="J2" s="294"/>
      <c r="K2" s="294"/>
    </row>
    <row r="3" spans="1:11" ht="45.75" customHeight="1" x14ac:dyDescent="0.2">
      <c r="A3" s="294"/>
      <c r="B3" s="294"/>
      <c r="C3" s="294"/>
      <c r="D3" s="294"/>
      <c r="E3" s="294"/>
      <c r="F3" s="294"/>
      <c r="G3" s="294"/>
      <c r="H3" s="294"/>
      <c r="I3" s="294"/>
      <c r="J3" s="294"/>
      <c r="K3" s="294"/>
    </row>
    <row r="4" spans="1:11" ht="45.75" customHeight="1" x14ac:dyDescent="0.2">
      <c r="A4" s="294"/>
      <c r="B4" s="294"/>
      <c r="C4" s="294"/>
      <c r="D4" s="294"/>
      <c r="E4" s="294"/>
      <c r="F4" s="294"/>
      <c r="G4" s="294"/>
      <c r="H4" s="294"/>
      <c r="I4" s="294"/>
      <c r="J4" s="294"/>
      <c r="K4" s="294"/>
    </row>
    <row r="5" spans="1:11" ht="45.75" customHeight="1" x14ac:dyDescent="0.2">
      <c r="A5" s="294"/>
      <c r="B5" s="294"/>
      <c r="C5" s="294"/>
      <c r="D5" s="294"/>
      <c r="E5" s="294"/>
      <c r="F5" s="294"/>
      <c r="G5" s="294"/>
      <c r="H5" s="294"/>
      <c r="I5" s="294"/>
      <c r="J5" s="294"/>
      <c r="K5" s="294"/>
    </row>
    <row r="6" spans="1:11" ht="45.75" customHeight="1" x14ac:dyDescent="0.2">
      <c r="A6" s="294"/>
      <c r="B6" s="294"/>
      <c r="C6" s="294"/>
      <c r="D6" s="294"/>
      <c r="E6" s="294"/>
      <c r="F6" s="294"/>
      <c r="G6" s="294"/>
      <c r="H6" s="294"/>
      <c r="I6" s="294"/>
      <c r="J6" s="294"/>
      <c r="K6" s="294"/>
    </row>
    <row r="7" spans="1:11" ht="45.75" customHeight="1" x14ac:dyDescent="0.2">
      <c r="A7" s="294"/>
      <c r="B7" s="294"/>
      <c r="C7" s="294"/>
      <c r="D7" s="294"/>
      <c r="E7" s="294"/>
      <c r="F7" s="294"/>
      <c r="G7" s="294"/>
      <c r="H7" s="294"/>
      <c r="I7" s="294"/>
      <c r="J7" s="294"/>
      <c r="K7" s="294"/>
    </row>
    <row r="8" spans="1:11" ht="13.5" thickBot="1" x14ac:dyDescent="0.25">
      <c r="A8" s="143"/>
      <c r="B8" s="144"/>
      <c r="C8" s="144"/>
      <c r="D8" s="144"/>
      <c r="E8" s="144"/>
      <c r="F8" s="143"/>
      <c r="G8" s="143"/>
      <c r="H8" s="143"/>
      <c r="I8" s="143"/>
      <c r="J8" s="143"/>
      <c r="K8" s="143"/>
    </row>
    <row r="9" spans="1:11" ht="18" x14ac:dyDescent="0.25">
      <c r="A9" s="143"/>
      <c r="B9" s="295" t="s">
        <v>162</v>
      </c>
      <c r="C9" s="296"/>
      <c r="D9" s="296"/>
      <c r="E9" s="296"/>
      <c r="F9" s="296"/>
      <c r="G9" s="296"/>
      <c r="H9" s="297"/>
      <c r="I9" s="143"/>
      <c r="J9" s="143"/>
      <c r="K9" s="143"/>
    </row>
    <row r="10" spans="1:11" ht="45" customHeight="1" thickBot="1" x14ac:dyDescent="0.25">
      <c r="A10" s="174"/>
      <c r="B10" s="145" t="s">
        <v>163</v>
      </c>
      <c r="C10" s="146" t="s">
        <v>164</v>
      </c>
      <c r="D10" s="146" t="s">
        <v>165</v>
      </c>
      <c r="E10" s="146" t="s">
        <v>166</v>
      </c>
      <c r="F10" s="146" t="s">
        <v>167</v>
      </c>
      <c r="G10" s="146" t="s">
        <v>51</v>
      </c>
      <c r="H10" s="146" t="s">
        <v>52</v>
      </c>
      <c r="I10" s="147"/>
      <c r="J10" s="174"/>
      <c r="K10" s="174"/>
    </row>
    <row r="11" spans="1:11" x14ac:dyDescent="0.2">
      <c r="B11" s="148" t="s">
        <v>773</v>
      </c>
      <c r="C11" s="148" t="s">
        <v>168</v>
      </c>
      <c r="D11" s="149" t="s">
        <v>56</v>
      </c>
      <c r="E11" s="149">
        <v>2013</v>
      </c>
      <c r="F11" s="150"/>
      <c r="G11" s="203"/>
      <c r="H11" s="218"/>
      <c r="I11" s="31"/>
      <c r="J11" s="143"/>
    </row>
    <row r="12" spans="1:11" x14ac:dyDescent="0.2">
      <c r="B12" s="151" t="s">
        <v>774</v>
      </c>
      <c r="C12" s="151" t="s">
        <v>168</v>
      </c>
      <c r="D12" s="152" t="s">
        <v>59</v>
      </c>
      <c r="E12" s="152">
        <v>2013</v>
      </c>
      <c r="F12" s="153"/>
      <c r="G12" s="204"/>
      <c r="H12" s="219"/>
      <c r="I12" s="31"/>
      <c r="J12" s="143"/>
    </row>
    <row r="13" spans="1:11" x14ac:dyDescent="0.2">
      <c r="B13" s="151" t="s">
        <v>775</v>
      </c>
      <c r="C13" s="151" t="s">
        <v>168</v>
      </c>
      <c r="D13" s="152" t="s">
        <v>58</v>
      </c>
      <c r="E13" s="152">
        <v>2013</v>
      </c>
      <c r="F13" s="153"/>
      <c r="G13" s="204"/>
      <c r="H13" s="219"/>
      <c r="I13" s="31"/>
      <c r="J13" s="143"/>
    </row>
    <row r="14" spans="1:11" x14ac:dyDescent="0.2">
      <c r="B14" s="151" t="s">
        <v>776</v>
      </c>
      <c r="C14" s="151" t="s">
        <v>168</v>
      </c>
      <c r="D14" s="152" t="s">
        <v>57</v>
      </c>
      <c r="E14" s="152">
        <v>2013</v>
      </c>
      <c r="F14" s="153"/>
      <c r="G14" s="204"/>
      <c r="H14" s="219"/>
      <c r="I14" s="31"/>
      <c r="J14" s="143"/>
    </row>
    <row r="15" spans="1:11" x14ac:dyDescent="0.2">
      <c r="B15" s="151" t="s">
        <v>777</v>
      </c>
      <c r="C15" s="151" t="s">
        <v>168</v>
      </c>
      <c r="D15" s="152" t="s">
        <v>134</v>
      </c>
      <c r="E15" s="152">
        <v>2013</v>
      </c>
      <c r="F15" s="153"/>
      <c r="G15" s="204"/>
      <c r="H15" s="219"/>
      <c r="I15" s="31"/>
      <c r="J15" s="143"/>
    </row>
    <row r="16" spans="1:11" x14ac:dyDescent="0.2">
      <c r="B16" s="151" t="s">
        <v>778</v>
      </c>
      <c r="C16" s="151" t="s">
        <v>168</v>
      </c>
      <c r="D16" s="152" t="s">
        <v>55</v>
      </c>
      <c r="E16" s="152">
        <v>2013</v>
      </c>
      <c r="F16" s="153"/>
      <c r="G16" s="204"/>
      <c r="H16" s="219"/>
      <c r="I16" s="31"/>
      <c r="J16" s="143"/>
    </row>
    <row r="17" spans="2:10" x14ac:dyDescent="0.2">
      <c r="B17" s="151" t="s">
        <v>779</v>
      </c>
      <c r="C17" s="151" t="s">
        <v>168</v>
      </c>
      <c r="D17" s="152" t="s">
        <v>54</v>
      </c>
      <c r="E17" s="152">
        <v>2013</v>
      </c>
      <c r="F17" s="153"/>
      <c r="G17" s="204"/>
      <c r="H17" s="219"/>
      <c r="I17" s="31"/>
      <c r="J17" s="143"/>
    </row>
    <row r="18" spans="2:10" x14ac:dyDescent="0.2">
      <c r="B18" s="151" t="s">
        <v>780</v>
      </c>
      <c r="C18" s="151" t="s">
        <v>168</v>
      </c>
      <c r="D18" s="152" t="s">
        <v>135</v>
      </c>
      <c r="E18" s="152">
        <v>2013</v>
      </c>
      <c r="F18" s="153"/>
      <c r="G18" s="204"/>
      <c r="H18" s="219"/>
      <c r="I18" s="31"/>
    </row>
    <row r="19" spans="2:10" x14ac:dyDescent="0.2">
      <c r="B19" s="151" t="s">
        <v>781</v>
      </c>
      <c r="C19" s="151" t="s">
        <v>168</v>
      </c>
      <c r="D19" s="152" t="s">
        <v>142</v>
      </c>
      <c r="E19" s="152">
        <v>2013</v>
      </c>
      <c r="F19" s="153"/>
      <c r="G19" s="204"/>
      <c r="H19" s="219"/>
      <c r="I19" s="31"/>
      <c r="J19" s="154"/>
    </row>
    <row r="20" spans="2:10" x14ac:dyDescent="0.2">
      <c r="B20" s="151" t="s">
        <v>782</v>
      </c>
      <c r="C20" s="151" t="s">
        <v>168</v>
      </c>
      <c r="D20" s="152" t="s">
        <v>53</v>
      </c>
      <c r="E20" s="152">
        <v>2013</v>
      </c>
      <c r="F20" s="153"/>
      <c r="G20" s="204"/>
      <c r="H20" s="219"/>
      <c r="I20" s="31"/>
    </row>
    <row r="21" spans="2:10" x14ac:dyDescent="0.2">
      <c r="B21" s="151" t="s">
        <v>783</v>
      </c>
      <c r="C21" s="151" t="s">
        <v>168</v>
      </c>
      <c r="D21" s="152" t="s">
        <v>133</v>
      </c>
      <c r="E21" s="152">
        <v>2013</v>
      </c>
      <c r="F21" s="153"/>
      <c r="G21" s="204"/>
      <c r="H21" s="219"/>
      <c r="I21" s="31"/>
      <c r="J21" s="143"/>
    </row>
    <row r="22" spans="2:10" x14ac:dyDescent="0.2">
      <c r="B22" s="151" t="s">
        <v>784</v>
      </c>
      <c r="C22" s="151" t="s">
        <v>168</v>
      </c>
      <c r="D22" s="152" t="s">
        <v>60</v>
      </c>
      <c r="E22" s="152">
        <v>2013</v>
      </c>
      <c r="F22" s="153"/>
      <c r="G22" s="204"/>
      <c r="H22" s="219"/>
      <c r="I22" s="31"/>
      <c r="J22" s="143"/>
    </row>
    <row r="23" spans="2:10" x14ac:dyDescent="0.2">
      <c r="B23" s="151" t="s">
        <v>663</v>
      </c>
      <c r="C23" s="151" t="s">
        <v>169</v>
      </c>
      <c r="D23" s="152" t="s">
        <v>56</v>
      </c>
      <c r="E23" s="152">
        <v>2004</v>
      </c>
      <c r="F23" s="153">
        <v>15</v>
      </c>
      <c r="G23" s="204">
        <v>21.5</v>
      </c>
      <c r="H23" s="219"/>
      <c r="I23" s="31"/>
      <c r="J23" s="143"/>
    </row>
    <row r="24" spans="2:10" x14ac:dyDescent="0.2">
      <c r="B24" s="151" t="s">
        <v>664</v>
      </c>
      <c r="C24" s="151" t="s">
        <v>169</v>
      </c>
      <c r="D24" s="152" t="s">
        <v>56</v>
      </c>
      <c r="E24" s="152">
        <v>2005</v>
      </c>
      <c r="F24" s="153">
        <v>17</v>
      </c>
      <c r="G24" s="204">
        <v>20.399999999999999</v>
      </c>
      <c r="H24" s="219"/>
      <c r="I24" s="31"/>
      <c r="J24" s="143"/>
    </row>
    <row r="25" spans="2:10" x14ac:dyDescent="0.2">
      <c r="B25" s="151" t="s">
        <v>665</v>
      </c>
      <c r="C25" s="151" t="s">
        <v>169</v>
      </c>
      <c r="D25" s="152" t="s">
        <v>56</v>
      </c>
      <c r="E25" s="152">
        <v>2006</v>
      </c>
      <c r="F25" s="153">
        <v>15</v>
      </c>
      <c r="G25" s="204">
        <v>22.2</v>
      </c>
      <c r="H25" s="219"/>
      <c r="I25" s="31"/>
      <c r="J25" s="143"/>
    </row>
    <row r="26" spans="2:10" x14ac:dyDescent="0.2">
      <c r="B26" s="151" t="s">
        <v>666</v>
      </c>
      <c r="C26" s="151" t="s">
        <v>169</v>
      </c>
      <c r="D26" s="152" t="s">
        <v>56</v>
      </c>
      <c r="E26" s="152">
        <v>2007</v>
      </c>
      <c r="F26" s="153">
        <v>16</v>
      </c>
      <c r="G26" s="204">
        <v>21.1</v>
      </c>
      <c r="H26" s="219"/>
      <c r="I26" s="31"/>
      <c r="J26" s="143"/>
    </row>
    <row r="27" spans="2:10" x14ac:dyDescent="0.2">
      <c r="B27" s="151" t="s">
        <v>667</v>
      </c>
      <c r="C27" s="151" t="s">
        <v>169</v>
      </c>
      <c r="D27" s="152" t="s">
        <v>56</v>
      </c>
      <c r="E27" s="152">
        <v>2008</v>
      </c>
      <c r="F27" s="153">
        <v>10</v>
      </c>
      <c r="G27" s="204">
        <v>22.5</v>
      </c>
      <c r="H27" s="219"/>
      <c r="I27" s="31"/>
      <c r="J27" s="143"/>
    </row>
    <row r="28" spans="2:10" x14ac:dyDescent="0.2">
      <c r="B28" s="151" t="s">
        <v>668</v>
      </c>
      <c r="C28" s="151" t="s">
        <v>169</v>
      </c>
      <c r="D28" s="152" t="s">
        <v>56</v>
      </c>
      <c r="E28" s="152">
        <v>2009</v>
      </c>
      <c r="F28" s="153">
        <v>7</v>
      </c>
      <c r="G28" s="204">
        <v>21.4</v>
      </c>
      <c r="H28" s="219"/>
      <c r="I28" s="31"/>
      <c r="J28" s="143"/>
    </row>
    <row r="29" spans="2:10" x14ac:dyDescent="0.2">
      <c r="B29" s="151" t="s">
        <v>669</v>
      </c>
      <c r="C29" s="151" t="s">
        <v>169</v>
      </c>
      <c r="D29" s="152" t="s">
        <v>56</v>
      </c>
      <c r="E29" s="152">
        <v>2010</v>
      </c>
      <c r="F29" s="153">
        <v>11</v>
      </c>
      <c r="G29" s="204">
        <v>23.5</v>
      </c>
      <c r="H29" s="219"/>
      <c r="I29" s="31"/>
      <c r="J29" s="143"/>
    </row>
    <row r="30" spans="2:10" x14ac:dyDescent="0.2">
      <c r="B30" s="151" t="s">
        <v>670</v>
      </c>
      <c r="C30" s="151" t="s">
        <v>169</v>
      </c>
      <c r="D30" s="152" t="s">
        <v>56</v>
      </c>
      <c r="E30" s="152">
        <v>2011</v>
      </c>
      <c r="F30" s="153">
        <v>7</v>
      </c>
      <c r="G30" s="204">
        <v>21.1</v>
      </c>
      <c r="H30" s="219"/>
      <c r="I30" s="31"/>
      <c r="J30" s="143"/>
    </row>
    <row r="31" spans="2:10" x14ac:dyDescent="0.2">
      <c r="B31" s="151" t="s">
        <v>651</v>
      </c>
      <c r="C31" s="151" t="s">
        <v>169</v>
      </c>
      <c r="D31" s="152" t="s">
        <v>56</v>
      </c>
      <c r="E31" s="152">
        <v>2012</v>
      </c>
      <c r="F31" s="153">
        <v>16</v>
      </c>
      <c r="G31" s="204">
        <v>20.399999999999999</v>
      </c>
      <c r="H31" s="219"/>
      <c r="I31" s="31"/>
      <c r="J31" s="143"/>
    </row>
    <row r="32" spans="2:10" x14ac:dyDescent="0.2">
      <c r="B32" s="151" t="s">
        <v>671</v>
      </c>
      <c r="C32" s="151" t="s">
        <v>169</v>
      </c>
      <c r="D32" s="152" t="s">
        <v>59</v>
      </c>
      <c r="E32" s="152">
        <v>2004</v>
      </c>
      <c r="F32" s="153">
        <v>7</v>
      </c>
      <c r="G32" s="204">
        <v>20.5</v>
      </c>
      <c r="H32" s="219"/>
      <c r="I32" s="31"/>
      <c r="J32" s="143"/>
    </row>
    <row r="33" spans="2:11" x14ac:dyDescent="0.2">
      <c r="B33" s="151" t="s">
        <v>672</v>
      </c>
      <c r="C33" s="151" t="s">
        <v>169</v>
      </c>
      <c r="D33" s="152" t="s">
        <v>59</v>
      </c>
      <c r="E33" s="152">
        <v>2005</v>
      </c>
      <c r="F33" s="153">
        <v>10</v>
      </c>
      <c r="G33" s="204">
        <v>19.5</v>
      </c>
      <c r="H33" s="219"/>
      <c r="I33" s="31"/>
      <c r="J33" s="143"/>
    </row>
    <row r="34" spans="2:11" x14ac:dyDescent="0.2">
      <c r="B34" s="151" t="s">
        <v>673</v>
      </c>
      <c r="C34" s="151" t="s">
        <v>169</v>
      </c>
      <c r="D34" s="152" t="s">
        <v>59</v>
      </c>
      <c r="E34" s="152">
        <v>2006</v>
      </c>
      <c r="F34" s="153">
        <v>5</v>
      </c>
      <c r="G34" s="204">
        <v>19.2</v>
      </c>
      <c r="H34" s="219"/>
      <c r="I34" s="31"/>
      <c r="J34" s="143"/>
    </row>
    <row r="35" spans="2:11" x14ac:dyDescent="0.2">
      <c r="B35" s="151" t="s">
        <v>674</v>
      </c>
      <c r="C35" s="151" t="s">
        <v>169</v>
      </c>
      <c r="D35" s="152" t="s">
        <v>59</v>
      </c>
      <c r="E35" s="152">
        <v>2007</v>
      </c>
      <c r="F35" s="153">
        <v>6</v>
      </c>
      <c r="G35" s="204">
        <v>20.2</v>
      </c>
      <c r="H35" s="219"/>
      <c r="I35" s="31"/>
      <c r="J35" s="143"/>
    </row>
    <row r="36" spans="2:11" x14ac:dyDescent="0.2">
      <c r="B36" s="151" t="s">
        <v>675</v>
      </c>
      <c r="C36" s="151" t="s">
        <v>169</v>
      </c>
      <c r="D36" s="152" t="s">
        <v>59</v>
      </c>
      <c r="E36" s="152">
        <v>2008</v>
      </c>
      <c r="F36" s="153">
        <v>2</v>
      </c>
      <c r="G36" s="204">
        <v>23</v>
      </c>
      <c r="H36" s="219"/>
      <c r="I36" s="31"/>
      <c r="J36" s="143"/>
    </row>
    <row r="37" spans="2:11" x14ac:dyDescent="0.2">
      <c r="B37" s="151" t="s">
        <v>676</v>
      </c>
      <c r="C37" s="151" t="s">
        <v>169</v>
      </c>
      <c r="D37" s="152" t="s">
        <v>59</v>
      </c>
      <c r="E37" s="152">
        <v>2009</v>
      </c>
      <c r="F37" s="153">
        <v>0</v>
      </c>
      <c r="G37" s="204"/>
      <c r="H37" s="219"/>
      <c r="I37" s="31"/>
      <c r="J37" s="143"/>
    </row>
    <row r="38" spans="2:11" x14ac:dyDescent="0.2">
      <c r="B38" s="151" t="s">
        <v>677</v>
      </c>
      <c r="C38" s="151" t="s">
        <v>169</v>
      </c>
      <c r="D38" s="152" t="s">
        <v>59</v>
      </c>
      <c r="E38" s="152">
        <v>2010</v>
      </c>
      <c r="F38" s="153">
        <v>0</v>
      </c>
      <c r="G38" s="204"/>
      <c r="H38" s="219"/>
      <c r="I38" s="31"/>
      <c r="J38" s="143"/>
    </row>
    <row r="39" spans="2:11" x14ac:dyDescent="0.2">
      <c r="B39" s="151" t="s">
        <v>678</v>
      </c>
      <c r="C39" s="151" t="s">
        <v>169</v>
      </c>
      <c r="D39" s="152" t="s">
        <v>59</v>
      </c>
      <c r="E39" s="152">
        <v>2011</v>
      </c>
      <c r="F39" s="153">
        <v>2</v>
      </c>
      <c r="G39" s="204">
        <v>17</v>
      </c>
      <c r="H39" s="219"/>
      <c r="I39" s="31"/>
      <c r="J39" s="143"/>
    </row>
    <row r="40" spans="2:11" x14ac:dyDescent="0.2">
      <c r="B40" s="151" t="s">
        <v>652</v>
      </c>
      <c r="C40" s="151" t="s">
        <v>169</v>
      </c>
      <c r="D40" s="152" t="s">
        <v>59</v>
      </c>
      <c r="E40" s="152">
        <v>2012</v>
      </c>
      <c r="F40" s="153">
        <v>3</v>
      </c>
      <c r="G40" s="204">
        <v>25.3</v>
      </c>
      <c r="H40" s="219"/>
      <c r="I40" s="31"/>
      <c r="J40" s="143"/>
    </row>
    <row r="41" spans="2:11" x14ac:dyDescent="0.2">
      <c r="B41" s="151" t="s">
        <v>679</v>
      </c>
      <c r="C41" s="151" t="s">
        <v>169</v>
      </c>
      <c r="D41" s="152" t="s">
        <v>58</v>
      </c>
      <c r="E41" s="152">
        <v>2004</v>
      </c>
      <c r="F41" s="153">
        <v>76</v>
      </c>
      <c r="G41" s="204">
        <v>17.7</v>
      </c>
      <c r="H41" s="219"/>
      <c r="I41" s="31"/>
      <c r="J41" s="143"/>
    </row>
    <row r="42" spans="2:11" x14ac:dyDescent="0.2">
      <c r="B42" s="151" t="s">
        <v>680</v>
      </c>
      <c r="C42" s="151" t="s">
        <v>169</v>
      </c>
      <c r="D42" s="152" t="s">
        <v>58</v>
      </c>
      <c r="E42" s="152">
        <v>2005</v>
      </c>
      <c r="F42" s="153">
        <v>118</v>
      </c>
      <c r="G42" s="204">
        <v>17.399999999999999</v>
      </c>
      <c r="H42" s="219"/>
      <c r="I42" s="31"/>
      <c r="J42" s="143"/>
    </row>
    <row r="43" spans="2:11" x14ac:dyDescent="0.2">
      <c r="B43" s="151" t="s">
        <v>681</v>
      </c>
      <c r="C43" s="151" t="s">
        <v>169</v>
      </c>
      <c r="D43" s="152" t="s">
        <v>58</v>
      </c>
      <c r="E43" s="152">
        <v>2006</v>
      </c>
      <c r="F43" s="153">
        <v>138</v>
      </c>
      <c r="G43" s="204">
        <v>17.3</v>
      </c>
      <c r="H43" s="219"/>
      <c r="I43" s="31"/>
      <c r="J43" s="143"/>
    </row>
    <row r="44" spans="2:11" x14ac:dyDescent="0.2">
      <c r="B44" s="151" t="s">
        <v>682</v>
      </c>
      <c r="C44" s="151" t="s">
        <v>169</v>
      </c>
      <c r="D44" s="152" t="s">
        <v>58</v>
      </c>
      <c r="E44" s="152">
        <v>2007</v>
      </c>
      <c r="F44" s="153">
        <v>133</v>
      </c>
      <c r="G44" s="204">
        <v>17.3</v>
      </c>
      <c r="H44" s="219"/>
      <c r="I44" s="31"/>
      <c r="J44" s="143"/>
    </row>
    <row r="45" spans="2:11" x14ac:dyDescent="0.2">
      <c r="B45" s="151" t="s">
        <v>683</v>
      </c>
      <c r="C45" s="151" t="s">
        <v>169</v>
      </c>
      <c r="D45" s="152" t="s">
        <v>58</v>
      </c>
      <c r="E45" s="152">
        <v>2008</v>
      </c>
      <c r="F45" s="153">
        <v>126</v>
      </c>
      <c r="G45" s="204">
        <v>17.8</v>
      </c>
      <c r="H45" s="219"/>
      <c r="I45" s="31"/>
      <c r="J45" s="143"/>
    </row>
    <row r="46" spans="2:11" x14ac:dyDescent="0.2">
      <c r="B46" s="151" t="s">
        <v>684</v>
      </c>
      <c r="C46" s="151" t="s">
        <v>169</v>
      </c>
      <c r="D46" s="152" t="s">
        <v>58</v>
      </c>
      <c r="E46" s="152">
        <v>2009</v>
      </c>
      <c r="F46" s="153">
        <v>191</v>
      </c>
      <c r="G46" s="204">
        <v>17.399999999999999</v>
      </c>
      <c r="H46" s="219"/>
      <c r="I46" s="31"/>
      <c r="J46" s="143"/>
    </row>
    <row r="47" spans="2:11" x14ac:dyDescent="0.2">
      <c r="B47" s="151" t="s">
        <v>685</v>
      </c>
      <c r="C47" s="151" t="s">
        <v>169</v>
      </c>
      <c r="D47" s="152" t="s">
        <v>58</v>
      </c>
      <c r="E47" s="152">
        <v>2010</v>
      </c>
      <c r="F47" s="153">
        <v>137</v>
      </c>
      <c r="G47" s="204">
        <v>18.2</v>
      </c>
      <c r="H47" s="219"/>
      <c r="I47" s="31"/>
      <c r="J47" s="143"/>
      <c r="K47" s="143"/>
    </row>
    <row r="48" spans="2:11" x14ac:dyDescent="0.2">
      <c r="B48" s="151" t="s">
        <v>686</v>
      </c>
      <c r="C48" s="151" t="s">
        <v>169</v>
      </c>
      <c r="D48" s="152" t="s">
        <v>58</v>
      </c>
      <c r="E48" s="152">
        <v>2011</v>
      </c>
      <c r="F48" s="153">
        <v>156</v>
      </c>
      <c r="G48" s="204">
        <v>18.3</v>
      </c>
      <c r="H48" s="219"/>
      <c r="I48" s="31"/>
      <c r="J48" s="143"/>
    </row>
    <row r="49" spans="2:10" x14ac:dyDescent="0.2">
      <c r="B49" s="151" t="s">
        <v>653</v>
      </c>
      <c r="C49" s="151" t="s">
        <v>169</v>
      </c>
      <c r="D49" s="152" t="s">
        <v>58</v>
      </c>
      <c r="E49" s="152">
        <v>2012</v>
      </c>
      <c r="F49" s="153">
        <v>183</v>
      </c>
      <c r="G49" s="204">
        <v>18.3</v>
      </c>
      <c r="H49" s="219"/>
      <c r="I49" s="31"/>
      <c r="J49" s="143"/>
    </row>
    <row r="50" spans="2:10" x14ac:dyDescent="0.2">
      <c r="B50" s="151" t="s">
        <v>687</v>
      </c>
      <c r="C50" s="151" t="s">
        <v>169</v>
      </c>
      <c r="D50" s="152" t="s">
        <v>57</v>
      </c>
      <c r="E50" s="152">
        <v>2004</v>
      </c>
      <c r="F50" s="153">
        <v>469</v>
      </c>
      <c r="G50" s="204">
        <v>21.1</v>
      </c>
      <c r="H50" s="219"/>
      <c r="I50" s="31"/>
      <c r="J50" s="143"/>
    </row>
    <row r="51" spans="2:10" x14ac:dyDescent="0.2">
      <c r="B51" s="151" t="s">
        <v>688</v>
      </c>
      <c r="C51" s="151" t="s">
        <v>169</v>
      </c>
      <c r="D51" s="152" t="s">
        <v>57</v>
      </c>
      <c r="E51" s="152">
        <v>2005</v>
      </c>
      <c r="F51" s="153">
        <v>526</v>
      </c>
      <c r="G51" s="204">
        <v>20.8</v>
      </c>
      <c r="H51" s="219"/>
      <c r="I51" s="31"/>
      <c r="J51" s="143"/>
    </row>
    <row r="52" spans="2:10" x14ac:dyDescent="0.2">
      <c r="B52" s="151" t="s">
        <v>689</v>
      </c>
      <c r="C52" s="151" t="s">
        <v>169</v>
      </c>
      <c r="D52" s="152" t="s">
        <v>57</v>
      </c>
      <c r="E52" s="152">
        <v>2006</v>
      </c>
      <c r="F52" s="153">
        <v>575</v>
      </c>
      <c r="G52" s="204">
        <v>21.1</v>
      </c>
      <c r="H52" s="219"/>
      <c r="I52" s="31"/>
      <c r="J52" s="143"/>
    </row>
    <row r="53" spans="2:10" x14ac:dyDescent="0.2">
      <c r="B53" s="151" t="s">
        <v>690</v>
      </c>
      <c r="C53" s="151" t="s">
        <v>169</v>
      </c>
      <c r="D53" s="152" t="s">
        <v>57</v>
      </c>
      <c r="E53" s="152">
        <v>2007</v>
      </c>
      <c r="F53" s="153">
        <v>558</v>
      </c>
      <c r="G53" s="204">
        <v>21.1</v>
      </c>
      <c r="H53" s="219"/>
      <c r="I53" s="31"/>
      <c r="J53" s="143"/>
    </row>
    <row r="54" spans="2:10" x14ac:dyDescent="0.2">
      <c r="B54" s="151" t="s">
        <v>691</v>
      </c>
      <c r="C54" s="151" t="s">
        <v>169</v>
      </c>
      <c r="D54" s="152" t="s">
        <v>57</v>
      </c>
      <c r="E54" s="152">
        <v>2008</v>
      </c>
      <c r="F54" s="153">
        <v>533</v>
      </c>
      <c r="G54" s="204">
        <v>21.3</v>
      </c>
      <c r="H54" s="219"/>
      <c r="I54" s="31"/>
      <c r="J54" s="143"/>
    </row>
    <row r="55" spans="2:10" x14ac:dyDescent="0.2">
      <c r="B55" s="151" t="s">
        <v>692</v>
      </c>
      <c r="C55" s="151" t="s">
        <v>169</v>
      </c>
      <c r="D55" s="152" t="s">
        <v>57</v>
      </c>
      <c r="E55" s="152">
        <v>2009</v>
      </c>
      <c r="F55" s="153">
        <v>597</v>
      </c>
      <c r="G55" s="204">
        <v>21.2</v>
      </c>
      <c r="H55" s="219"/>
      <c r="I55" s="31"/>
      <c r="J55" s="143"/>
    </row>
    <row r="56" spans="2:10" x14ac:dyDescent="0.2">
      <c r="B56" s="151" t="s">
        <v>693</v>
      </c>
      <c r="C56" s="151" t="s">
        <v>169</v>
      </c>
      <c r="D56" s="152" t="s">
        <v>57</v>
      </c>
      <c r="E56" s="152">
        <v>2010</v>
      </c>
      <c r="F56" s="153">
        <v>562</v>
      </c>
      <c r="G56" s="204">
        <v>21.9</v>
      </c>
      <c r="H56" s="219"/>
      <c r="I56" s="31"/>
      <c r="J56" s="143"/>
    </row>
    <row r="57" spans="2:10" x14ac:dyDescent="0.2">
      <c r="B57" s="151" t="s">
        <v>694</v>
      </c>
      <c r="C57" s="151" t="s">
        <v>169</v>
      </c>
      <c r="D57" s="152" t="s">
        <v>57</v>
      </c>
      <c r="E57" s="152">
        <v>2011</v>
      </c>
      <c r="F57" s="153">
        <v>546</v>
      </c>
      <c r="G57" s="204">
        <v>21.6</v>
      </c>
      <c r="H57" s="219"/>
      <c r="I57" s="31"/>
      <c r="J57" s="143"/>
    </row>
    <row r="58" spans="2:10" x14ac:dyDescent="0.2">
      <c r="B58" s="151" t="s">
        <v>654</v>
      </c>
      <c r="C58" s="151" t="s">
        <v>169</v>
      </c>
      <c r="D58" s="152" t="s">
        <v>57</v>
      </c>
      <c r="E58" s="152">
        <v>2012</v>
      </c>
      <c r="F58" s="153">
        <v>595</v>
      </c>
      <c r="G58" s="204">
        <v>21.6</v>
      </c>
      <c r="H58" s="219"/>
      <c r="I58" s="31"/>
      <c r="J58" s="143"/>
    </row>
    <row r="59" spans="2:10" x14ac:dyDescent="0.2">
      <c r="B59" s="151" t="s">
        <v>695</v>
      </c>
      <c r="C59" s="151" t="s">
        <v>169</v>
      </c>
      <c r="D59" s="152" t="s">
        <v>134</v>
      </c>
      <c r="E59" s="152">
        <v>2008</v>
      </c>
      <c r="F59" s="205">
        <v>0</v>
      </c>
      <c r="G59" s="206"/>
      <c r="H59" s="219"/>
      <c r="I59" s="31"/>
      <c r="J59" s="143"/>
    </row>
    <row r="60" spans="2:10" x14ac:dyDescent="0.2">
      <c r="B60" s="151" t="s">
        <v>696</v>
      </c>
      <c r="C60" s="151" t="s">
        <v>169</v>
      </c>
      <c r="D60" s="152" t="s">
        <v>134</v>
      </c>
      <c r="E60" s="152">
        <v>2009</v>
      </c>
      <c r="F60" s="153">
        <v>0</v>
      </c>
      <c r="G60" s="204"/>
      <c r="H60" s="219"/>
      <c r="I60" s="31"/>
      <c r="J60" s="143"/>
    </row>
    <row r="61" spans="2:10" x14ac:dyDescent="0.2">
      <c r="B61" s="151" t="s">
        <v>697</v>
      </c>
      <c r="C61" s="151" t="s">
        <v>169</v>
      </c>
      <c r="D61" s="152" t="s">
        <v>134</v>
      </c>
      <c r="E61" s="152">
        <v>2010</v>
      </c>
      <c r="F61" s="153">
        <v>0</v>
      </c>
      <c r="G61" s="204"/>
      <c r="H61" s="219"/>
      <c r="I61" s="31"/>
      <c r="J61" s="143"/>
    </row>
    <row r="62" spans="2:10" x14ac:dyDescent="0.2">
      <c r="B62" s="151" t="s">
        <v>698</v>
      </c>
      <c r="C62" s="151" t="s">
        <v>169</v>
      </c>
      <c r="D62" s="152" t="s">
        <v>134</v>
      </c>
      <c r="E62" s="152">
        <v>2011</v>
      </c>
      <c r="F62" s="153">
        <v>1</v>
      </c>
      <c r="G62" s="204">
        <v>24</v>
      </c>
      <c r="H62" s="219"/>
      <c r="I62" s="31"/>
      <c r="J62" s="143"/>
    </row>
    <row r="63" spans="2:10" x14ac:dyDescent="0.2">
      <c r="B63" s="151" t="s">
        <v>655</v>
      </c>
      <c r="C63" s="151" t="s">
        <v>169</v>
      </c>
      <c r="D63" s="152" t="s">
        <v>134</v>
      </c>
      <c r="E63" s="152">
        <v>2012</v>
      </c>
      <c r="F63" s="153">
        <v>1</v>
      </c>
      <c r="G63" s="204">
        <v>25</v>
      </c>
      <c r="H63" s="219"/>
      <c r="I63" s="31"/>
      <c r="J63" s="143"/>
    </row>
    <row r="64" spans="2:10" x14ac:dyDescent="0.2">
      <c r="B64" s="151" t="s">
        <v>699</v>
      </c>
      <c r="C64" s="151" t="s">
        <v>169</v>
      </c>
      <c r="D64" s="152" t="s">
        <v>55</v>
      </c>
      <c r="E64" s="152">
        <v>2004</v>
      </c>
      <c r="F64" s="153">
        <v>7</v>
      </c>
      <c r="G64" s="204">
        <v>20</v>
      </c>
      <c r="H64" s="219"/>
      <c r="I64" s="31"/>
      <c r="J64" s="143"/>
    </row>
    <row r="65" spans="2:10" x14ac:dyDescent="0.2">
      <c r="B65" s="151" t="s">
        <v>700</v>
      </c>
      <c r="C65" s="151" t="s">
        <v>169</v>
      </c>
      <c r="D65" s="152" t="s">
        <v>55</v>
      </c>
      <c r="E65" s="152">
        <v>2005</v>
      </c>
      <c r="F65" s="153">
        <v>11</v>
      </c>
      <c r="G65" s="204">
        <v>19.399999999999999</v>
      </c>
      <c r="H65" s="219"/>
      <c r="I65" s="31"/>
      <c r="J65" s="143"/>
    </row>
    <row r="66" spans="2:10" x14ac:dyDescent="0.2">
      <c r="B66" s="151" t="s">
        <v>701</v>
      </c>
      <c r="C66" s="151" t="s">
        <v>169</v>
      </c>
      <c r="D66" s="152" t="s">
        <v>55</v>
      </c>
      <c r="E66" s="152">
        <v>2006</v>
      </c>
      <c r="F66" s="153">
        <v>18</v>
      </c>
      <c r="G66" s="204">
        <v>22</v>
      </c>
      <c r="H66" s="219"/>
      <c r="I66" s="31"/>
      <c r="J66" s="143"/>
    </row>
    <row r="67" spans="2:10" x14ac:dyDescent="0.2">
      <c r="B67" s="151" t="s">
        <v>702</v>
      </c>
      <c r="C67" s="151" t="s">
        <v>169</v>
      </c>
      <c r="D67" s="152" t="s">
        <v>55</v>
      </c>
      <c r="E67" s="152">
        <v>2007</v>
      </c>
      <c r="F67" s="153">
        <v>13</v>
      </c>
      <c r="G67" s="204">
        <v>19.100000000000001</v>
      </c>
      <c r="H67" s="219"/>
      <c r="I67" s="31"/>
      <c r="J67" s="143"/>
    </row>
    <row r="68" spans="2:10" x14ac:dyDescent="0.2">
      <c r="B68" s="151" t="s">
        <v>703</v>
      </c>
      <c r="C68" s="151" t="s">
        <v>169</v>
      </c>
      <c r="D68" s="152" t="s">
        <v>55</v>
      </c>
      <c r="E68" s="152">
        <v>2008</v>
      </c>
      <c r="F68" s="153">
        <v>22</v>
      </c>
      <c r="G68" s="204">
        <v>19.100000000000001</v>
      </c>
      <c r="H68" s="219"/>
      <c r="I68" s="31"/>
      <c r="J68" s="143"/>
    </row>
    <row r="69" spans="2:10" x14ac:dyDescent="0.2">
      <c r="B69" s="151" t="s">
        <v>704</v>
      </c>
      <c r="C69" s="151" t="s">
        <v>169</v>
      </c>
      <c r="D69" s="152" t="s">
        <v>55</v>
      </c>
      <c r="E69" s="152">
        <v>2009</v>
      </c>
      <c r="F69" s="153">
        <v>16</v>
      </c>
      <c r="G69" s="204">
        <v>21.4</v>
      </c>
      <c r="H69" s="219"/>
      <c r="I69" s="31"/>
      <c r="J69" s="143"/>
    </row>
    <row r="70" spans="2:10" x14ac:dyDescent="0.2">
      <c r="B70" s="151" t="s">
        <v>705</v>
      </c>
      <c r="C70" s="151" t="s">
        <v>169</v>
      </c>
      <c r="D70" s="152" t="s">
        <v>55</v>
      </c>
      <c r="E70" s="152">
        <v>2010</v>
      </c>
      <c r="F70" s="153">
        <v>21</v>
      </c>
      <c r="G70" s="204">
        <v>21.1</v>
      </c>
      <c r="H70" s="219"/>
      <c r="I70" s="31"/>
      <c r="J70" s="143"/>
    </row>
    <row r="71" spans="2:10" x14ac:dyDescent="0.2">
      <c r="B71" s="151" t="s">
        <v>706</v>
      </c>
      <c r="C71" s="151" t="s">
        <v>169</v>
      </c>
      <c r="D71" s="152" t="s">
        <v>55</v>
      </c>
      <c r="E71" s="152">
        <v>2011</v>
      </c>
      <c r="F71" s="153">
        <v>19</v>
      </c>
      <c r="G71" s="204">
        <v>21.7</v>
      </c>
      <c r="H71" s="219"/>
      <c r="I71" s="31"/>
      <c r="J71" s="143"/>
    </row>
    <row r="72" spans="2:10" x14ac:dyDescent="0.2">
      <c r="B72" s="151" t="s">
        <v>656</v>
      </c>
      <c r="C72" s="151" t="s">
        <v>169</v>
      </c>
      <c r="D72" s="152" t="s">
        <v>55</v>
      </c>
      <c r="E72" s="152">
        <v>2012</v>
      </c>
      <c r="F72" s="153">
        <v>28</v>
      </c>
      <c r="G72" s="204">
        <v>21.7</v>
      </c>
      <c r="H72" s="219"/>
      <c r="I72" s="31"/>
      <c r="J72" s="143"/>
    </row>
    <row r="73" spans="2:10" x14ac:dyDescent="0.2">
      <c r="B73" s="151" t="s">
        <v>707</v>
      </c>
      <c r="C73" s="151" t="s">
        <v>169</v>
      </c>
      <c r="D73" s="152" t="s">
        <v>54</v>
      </c>
      <c r="E73" s="152">
        <v>2004</v>
      </c>
      <c r="F73" s="153">
        <v>387</v>
      </c>
      <c r="G73" s="204">
        <v>20.6</v>
      </c>
      <c r="H73" s="219"/>
      <c r="I73" s="31"/>
      <c r="J73" s="143"/>
    </row>
    <row r="74" spans="2:10" x14ac:dyDescent="0.2">
      <c r="B74" s="151" t="s">
        <v>708</v>
      </c>
      <c r="C74" s="151" t="s">
        <v>169</v>
      </c>
      <c r="D74" s="152" t="s">
        <v>54</v>
      </c>
      <c r="E74" s="152">
        <v>2005</v>
      </c>
      <c r="F74" s="153">
        <v>456</v>
      </c>
      <c r="G74" s="204">
        <v>20.3</v>
      </c>
      <c r="H74" s="219"/>
      <c r="I74" s="31"/>
      <c r="J74" s="143"/>
    </row>
    <row r="75" spans="2:10" x14ac:dyDescent="0.2">
      <c r="B75" s="151" t="s">
        <v>709</v>
      </c>
      <c r="C75" s="151" t="s">
        <v>169</v>
      </c>
      <c r="D75" s="152" t="s">
        <v>54</v>
      </c>
      <c r="E75" s="152">
        <v>2006</v>
      </c>
      <c r="F75" s="153">
        <v>444</v>
      </c>
      <c r="G75" s="204">
        <v>20.3</v>
      </c>
      <c r="H75" s="219"/>
      <c r="I75" s="31"/>
      <c r="J75" s="143"/>
    </row>
    <row r="76" spans="2:10" x14ac:dyDescent="0.2">
      <c r="B76" s="151" t="s">
        <v>710</v>
      </c>
      <c r="C76" s="151" t="s">
        <v>169</v>
      </c>
      <c r="D76" s="152" t="s">
        <v>54</v>
      </c>
      <c r="E76" s="152">
        <v>2007</v>
      </c>
      <c r="F76" s="153">
        <v>465</v>
      </c>
      <c r="G76" s="204">
        <v>20.8</v>
      </c>
      <c r="H76" s="219"/>
      <c r="I76" s="31"/>
      <c r="J76" s="143"/>
    </row>
    <row r="77" spans="2:10" x14ac:dyDescent="0.2">
      <c r="B77" s="151" t="s">
        <v>711</v>
      </c>
      <c r="C77" s="151" t="s">
        <v>169</v>
      </c>
      <c r="D77" s="152" t="s">
        <v>54</v>
      </c>
      <c r="E77" s="152">
        <v>2008</v>
      </c>
      <c r="F77" s="153">
        <v>455</v>
      </c>
      <c r="G77" s="204">
        <v>21</v>
      </c>
      <c r="H77" s="219"/>
      <c r="I77" s="31"/>
      <c r="J77" s="143"/>
    </row>
    <row r="78" spans="2:10" x14ac:dyDescent="0.2">
      <c r="B78" s="151" t="s">
        <v>712</v>
      </c>
      <c r="C78" s="151" t="s">
        <v>169</v>
      </c>
      <c r="D78" s="152" t="s">
        <v>54</v>
      </c>
      <c r="E78" s="152">
        <v>2009</v>
      </c>
      <c r="F78" s="153">
        <v>467</v>
      </c>
      <c r="G78" s="204">
        <v>20.9</v>
      </c>
      <c r="H78" s="219"/>
      <c r="I78" s="31"/>
      <c r="J78" s="143"/>
    </row>
    <row r="79" spans="2:10" x14ac:dyDescent="0.2">
      <c r="B79" s="151" t="s">
        <v>713</v>
      </c>
      <c r="C79" s="151" t="s">
        <v>169</v>
      </c>
      <c r="D79" s="152" t="s">
        <v>54</v>
      </c>
      <c r="E79" s="152">
        <v>2010</v>
      </c>
      <c r="F79" s="153">
        <v>399</v>
      </c>
      <c r="G79" s="204">
        <v>21.6</v>
      </c>
      <c r="H79" s="219"/>
      <c r="I79" s="31"/>
      <c r="J79" s="143"/>
    </row>
    <row r="80" spans="2:10" x14ac:dyDescent="0.2">
      <c r="B80" s="151" t="s">
        <v>714</v>
      </c>
      <c r="C80" s="151" t="s">
        <v>169</v>
      </c>
      <c r="D80" s="152" t="s">
        <v>54</v>
      </c>
      <c r="E80" s="152">
        <v>2011</v>
      </c>
      <c r="F80" s="153">
        <v>370</v>
      </c>
      <c r="G80" s="204">
        <v>21.6</v>
      </c>
      <c r="H80" s="219"/>
      <c r="I80" s="31"/>
      <c r="J80" s="143"/>
    </row>
    <row r="81" spans="2:10" x14ac:dyDescent="0.2">
      <c r="B81" s="151" t="s">
        <v>657</v>
      </c>
      <c r="C81" s="151" t="s">
        <v>169</v>
      </c>
      <c r="D81" s="152" t="s">
        <v>54</v>
      </c>
      <c r="E81" s="152">
        <v>2012</v>
      </c>
      <c r="F81" s="153">
        <v>456</v>
      </c>
      <c r="G81" s="204">
        <v>21.3</v>
      </c>
      <c r="H81" s="219"/>
      <c r="I81" s="31"/>
      <c r="J81" s="143"/>
    </row>
    <row r="82" spans="2:10" x14ac:dyDescent="0.2">
      <c r="B82" s="151" t="s">
        <v>715</v>
      </c>
      <c r="C82" s="151" t="s">
        <v>169</v>
      </c>
      <c r="D82" s="152" t="s">
        <v>135</v>
      </c>
      <c r="E82" s="152">
        <v>2008</v>
      </c>
      <c r="F82" s="205">
        <v>26</v>
      </c>
      <c r="G82" s="206">
        <v>22.9</v>
      </c>
      <c r="H82" s="219"/>
      <c r="I82" s="31"/>
      <c r="J82" s="143"/>
    </row>
    <row r="83" spans="2:10" x14ac:dyDescent="0.2">
      <c r="B83" s="151" t="s">
        <v>716</v>
      </c>
      <c r="C83" s="151" t="s">
        <v>169</v>
      </c>
      <c r="D83" s="152" t="s">
        <v>135</v>
      </c>
      <c r="E83" s="152">
        <v>2009</v>
      </c>
      <c r="F83" s="153">
        <v>16</v>
      </c>
      <c r="G83" s="204">
        <v>18.7</v>
      </c>
      <c r="H83" s="219"/>
      <c r="I83" s="31"/>
      <c r="J83" s="143"/>
    </row>
    <row r="84" spans="2:10" x14ac:dyDescent="0.2">
      <c r="B84" s="151" t="s">
        <v>717</v>
      </c>
      <c r="C84" s="151" t="s">
        <v>169</v>
      </c>
      <c r="D84" s="152" t="s">
        <v>135</v>
      </c>
      <c r="E84" s="152">
        <v>2010</v>
      </c>
      <c r="F84" s="153">
        <v>17</v>
      </c>
      <c r="G84" s="204">
        <v>22</v>
      </c>
      <c r="H84" s="219"/>
      <c r="I84" s="31"/>
      <c r="J84" s="143"/>
    </row>
    <row r="85" spans="2:10" x14ac:dyDescent="0.2">
      <c r="B85" s="151" t="s">
        <v>718</v>
      </c>
      <c r="C85" s="151" t="s">
        <v>169</v>
      </c>
      <c r="D85" s="152" t="s">
        <v>135</v>
      </c>
      <c r="E85" s="152">
        <v>2011</v>
      </c>
      <c r="F85" s="153">
        <v>19</v>
      </c>
      <c r="G85" s="204">
        <v>21.2</v>
      </c>
      <c r="H85" s="219"/>
      <c r="I85" s="31"/>
      <c r="J85" s="143"/>
    </row>
    <row r="86" spans="2:10" x14ac:dyDescent="0.2">
      <c r="B86" s="151" t="s">
        <v>658</v>
      </c>
      <c r="C86" s="151" t="s">
        <v>169</v>
      </c>
      <c r="D86" s="152" t="s">
        <v>135</v>
      </c>
      <c r="E86" s="152">
        <v>2012</v>
      </c>
      <c r="F86" s="153">
        <v>23</v>
      </c>
      <c r="G86" s="204">
        <v>22.3</v>
      </c>
      <c r="H86" s="219"/>
      <c r="I86" s="31"/>
      <c r="J86" s="143"/>
    </row>
    <row r="87" spans="2:10" x14ac:dyDescent="0.2">
      <c r="B87" s="151" t="s">
        <v>719</v>
      </c>
      <c r="C87" s="151" t="s">
        <v>169</v>
      </c>
      <c r="D87" s="152" t="s">
        <v>142</v>
      </c>
      <c r="E87" s="152">
        <v>2004</v>
      </c>
      <c r="F87" s="153">
        <v>40</v>
      </c>
      <c r="G87" s="204">
        <v>17.100000000000001</v>
      </c>
      <c r="H87" s="219"/>
      <c r="I87" s="31"/>
      <c r="J87" s="143"/>
    </row>
    <row r="88" spans="2:10" x14ac:dyDescent="0.2">
      <c r="B88" s="151" t="s">
        <v>720</v>
      </c>
      <c r="C88" s="151" t="s">
        <v>169</v>
      </c>
      <c r="D88" s="152" t="s">
        <v>142</v>
      </c>
      <c r="E88" s="152">
        <v>2005</v>
      </c>
      <c r="F88" s="153">
        <v>88</v>
      </c>
      <c r="G88" s="204">
        <v>15.9</v>
      </c>
      <c r="H88" s="219"/>
      <c r="I88" s="31"/>
      <c r="J88" s="143"/>
    </row>
    <row r="89" spans="2:10" x14ac:dyDescent="0.2">
      <c r="B89" s="151" t="s">
        <v>721</v>
      </c>
      <c r="C89" s="151" t="s">
        <v>169</v>
      </c>
      <c r="D89" s="152" t="s">
        <v>142</v>
      </c>
      <c r="E89" s="152">
        <v>2006</v>
      </c>
      <c r="F89" s="153">
        <v>174</v>
      </c>
      <c r="G89" s="204">
        <v>15.9</v>
      </c>
      <c r="H89" s="219"/>
      <c r="I89" s="31"/>
      <c r="J89" s="143"/>
    </row>
    <row r="90" spans="2:10" x14ac:dyDescent="0.2">
      <c r="B90" s="151" t="s">
        <v>722</v>
      </c>
      <c r="C90" s="151" t="s">
        <v>169</v>
      </c>
      <c r="D90" s="152" t="s">
        <v>142</v>
      </c>
      <c r="E90" s="152">
        <v>2007</v>
      </c>
      <c r="F90" s="153">
        <v>131</v>
      </c>
      <c r="G90" s="204">
        <v>18</v>
      </c>
      <c r="H90" s="219"/>
      <c r="I90" s="31"/>
      <c r="J90" s="143"/>
    </row>
    <row r="91" spans="2:10" x14ac:dyDescent="0.2">
      <c r="B91" s="151" t="s">
        <v>723</v>
      </c>
      <c r="C91" s="151" t="s">
        <v>169</v>
      </c>
      <c r="D91" s="152" t="s">
        <v>142</v>
      </c>
      <c r="E91" s="152">
        <v>2008</v>
      </c>
      <c r="F91" s="153">
        <v>24</v>
      </c>
      <c r="G91" s="204">
        <v>17.2</v>
      </c>
      <c r="H91" s="219"/>
      <c r="I91" s="31"/>
      <c r="J91" s="143"/>
    </row>
    <row r="92" spans="2:10" x14ac:dyDescent="0.2">
      <c r="B92" s="151" t="s">
        <v>724</v>
      </c>
      <c r="C92" s="151" t="s">
        <v>169</v>
      </c>
      <c r="D92" s="152" t="s">
        <v>142</v>
      </c>
      <c r="E92" s="152">
        <v>2009</v>
      </c>
      <c r="F92" s="153">
        <v>26</v>
      </c>
      <c r="G92" s="204">
        <v>19</v>
      </c>
      <c r="H92" s="219"/>
      <c r="I92" s="31"/>
      <c r="J92" s="143"/>
    </row>
    <row r="93" spans="2:10" x14ac:dyDescent="0.2">
      <c r="B93" s="151" t="s">
        <v>725</v>
      </c>
      <c r="C93" s="151" t="s">
        <v>169</v>
      </c>
      <c r="D93" s="152" t="s">
        <v>142</v>
      </c>
      <c r="E93" s="152">
        <v>2010</v>
      </c>
      <c r="F93" s="153">
        <v>11</v>
      </c>
      <c r="G93" s="204">
        <v>16.3</v>
      </c>
      <c r="H93" s="219"/>
      <c r="I93" s="31"/>
      <c r="J93" s="143"/>
    </row>
    <row r="94" spans="2:10" x14ac:dyDescent="0.2">
      <c r="B94" s="151" t="s">
        <v>726</v>
      </c>
      <c r="C94" s="151" t="s">
        <v>169</v>
      </c>
      <c r="D94" s="152" t="s">
        <v>142</v>
      </c>
      <c r="E94" s="152">
        <v>2011</v>
      </c>
      <c r="F94" s="153">
        <v>16</v>
      </c>
      <c r="G94" s="204">
        <v>14</v>
      </c>
      <c r="H94" s="219"/>
      <c r="I94" s="31"/>
      <c r="J94" s="143"/>
    </row>
    <row r="95" spans="2:10" x14ac:dyDescent="0.2">
      <c r="B95" s="151" t="s">
        <v>659</v>
      </c>
      <c r="C95" s="151" t="s">
        <v>169</v>
      </c>
      <c r="D95" s="152" t="s">
        <v>142</v>
      </c>
      <c r="E95" s="152">
        <v>2012</v>
      </c>
      <c r="F95" s="153">
        <v>19</v>
      </c>
      <c r="G95" s="204"/>
      <c r="H95" s="219"/>
      <c r="I95" s="31"/>
      <c r="J95" s="143"/>
    </row>
    <row r="96" spans="2:10" x14ac:dyDescent="0.2">
      <c r="B96" s="151" t="s">
        <v>727</v>
      </c>
      <c r="C96" s="151" t="s">
        <v>169</v>
      </c>
      <c r="D96" s="152" t="s">
        <v>53</v>
      </c>
      <c r="E96" s="152">
        <v>2004</v>
      </c>
      <c r="F96" s="153">
        <v>856</v>
      </c>
      <c r="G96" s="204">
        <v>20.9</v>
      </c>
      <c r="H96" s="219"/>
      <c r="I96" s="31"/>
      <c r="J96" s="143"/>
    </row>
    <row r="97" spans="2:10" x14ac:dyDescent="0.2">
      <c r="B97" s="151" t="s">
        <v>728</v>
      </c>
      <c r="C97" s="151" t="s">
        <v>169</v>
      </c>
      <c r="D97" s="152" t="s">
        <v>53</v>
      </c>
      <c r="E97" s="152">
        <v>2005</v>
      </c>
      <c r="F97" s="153">
        <v>982</v>
      </c>
      <c r="G97" s="204">
        <v>20.6</v>
      </c>
      <c r="H97" s="219"/>
      <c r="I97" s="31"/>
      <c r="J97" s="143"/>
    </row>
    <row r="98" spans="2:10" x14ac:dyDescent="0.2">
      <c r="B98" s="151" t="s">
        <v>729</v>
      </c>
      <c r="C98" s="151" t="s">
        <v>169</v>
      </c>
      <c r="D98" s="152" t="s">
        <v>53</v>
      </c>
      <c r="E98" s="152">
        <v>2006</v>
      </c>
      <c r="F98" s="153">
        <v>1019</v>
      </c>
      <c r="G98" s="204">
        <v>20.7</v>
      </c>
      <c r="H98" s="219"/>
      <c r="I98" s="31"/>
      <c r="J98" s="143"/>
    </row>
    <row r="99" spans="2:10" x14ac:dyDescent="0.2">
      <c r="B99" s="151" t="s">
        <v>730</v>
      </c>
      <c r="C99" s="151" t="s">
        <v>169</v>
      </c>
      <c r="D99" s="152" t="s">
        <v>53</v>
      </c>
      <c r="E99" s="152">
        <v>2007</v>
      </c>
      <c r="F99" s="153">
        <v>1023</v>
      </c>
      <c r="G99" s="204">
        <v>20.9</v>
      </c>
      <c r="H99" s="219"/>
      <c r="I99" s="31"/>
      <c r="J99" s="143"/>
    </row>
    <row r="100" spans="2:10" x14ac:dyDescent="0.2">
      <c r="B100" s="151" t="s">
        <v>731</v>
      </c>
      <c r="C100" s="151" t="s">
        <v>169</v>
      </c>
      <c r="D100" s="152" t="s">
        <v>53</v>
      </c>
      <c r="E100" s="152">
        <v>2008</v>
      </c>
      <c r="F100" s="153">
        <v>988</v>
      </c>
      <c r="G100" s="204">
        <v>21.2</v>
      </c>
      <c r="H100" s="219"/>
      <c r="I100" s="31"/>
      <c r="J100" s="143"/>
    </row>
    <row r="101" spans="2:10" x14ac:dyDescent="0.2">
      <c r="B101" s="151" t="s">
        <v>732</v>
      </c>
      <c r="C101" s="151" t="s">
        <v>169</v>
      </c>
      <c r="D101" s="152" t="s">
        <v>53</v>
      </c>
      <c r="E101" s="152">
        <v>2009</v>
      </c>
      <c r="F101" s="153">
        <v>1064</v>
      </c>
      <c r="G101" s="204">
        <v>21.1</v>
      </c>
      <c r="H101" s="219"/>
      <c r="I101" s="31"/>
      <c r="J101" s="143"/>
    </row>
    <row r="102" spans="2:10" x14ac:dyDescent="0.2">
      <c r="B102" s="151" t="s">
        <v>733</v>
      </c>
      <c r="C102" s="151" t="s">
        <v>169</v>
      </c>
      <c r="D102" s="152" t="s">
        <v>53</v>
      </c>
      <c r="E102" s="152">
        <v>2010</v>
      </c>
      <c r="F102" s="153">
        <v>961</v>
      </c>
      <c r="G102" s="204">
        <v>21.8</v>
      </c>
      <c r="H102" s="219"/>
      <c r="I102" s="31"/>
      <c r="J102" s="143"/>
    </row>
    <row r="103" spans="2:10" x14ac:dyDescent="0.2">
      <c r="B103" s="151" t="s">
        <v>734</v>
      </c>
      <c r="C103" s="151" t="s">
        <v>169</v>
      </c>
      <c r="D103" s="152" t="s">
        <v>53</v>
      </c>
      <c r="E103" s="152">
        <v>2011</v>
      </c>
      <c r="F103" s="153">
        <v>916</v>
      </c>
      <c r="G103" s="204">
        <v>21.6</v>
      </c>
      <c r="H103" s="219"/>
      <c r="I103" s="31"/>
      <c r="J103" s="143"/>
    </row>
    <row r="104" spans="2:10" x14ac:dyDescent="0.2">
      <c r="B104" s="151" t="s">
        <v>660</v>
      </c>
      <c r="C104" s="151" t="s">
        <v>169</v>
      </c>
      <c r="D104" s="152" t="s">
        <v>53</v>
      </c>
      <c r="E104" s="152">
        <v>2012</v>
      </c>
      <c r="F104" s="153">
        <v>1051</v>
      </c>
      <c r="G104" s="204">
        <v>21.5</v>
      </c>
      <c r="H104" s="219"/>
      <c r="I104" s="31"/>
      <c r="J104" s="143"/>
    </row>
    <row r="105" spans="2:10" x14ac:dyDescent="0.2">
      <c r="B105" s="151" t="s">
        <v>735</v>
      </c>
      <c r="C105" s="151" t="s">
        <v>169</v>
      </c>
      <c r="D105" s="152" t="s">
        <v>133</v>
      </c>
      <c r="E105" s="152">
        <v>2004</v>
      </c>
      <c r="F105" s="153">
        <v>43</v>
      </c>
      <c r="G105" s="204">
        <v>21.8</v>
      </c>
      <c r="H105" s="219"/>
      <c r="I105" s="31"/>
      <c r="J105" s="143"/>
    </row>
    <row r="106" spans="2:10" x14ac:dyDescent="0.2">
      <c r="B106" s="151" t="s">
        <v>736</v>
      </c>
      <c r="C106" s="151" t="s">
        <v>169</v>
      </c>
      <c r="D106" s="152" t="s">
        <v>133</v>
      </c>
      <c r="E106" s="152">
        <v>2005</v>
      </c>
      <c r="F106" s="153">
        <v>60</v>
      </c>
      <c r="G106" s="204">
        <v>21</v>
      </c>
      <c r="H106" s="219"/>
      <c r="I106" s="31"/>
      <c r="J106" s="143"/>
    </row>
    <row r="107" spans="2:10" x14ac:dyDescent="0.2">
      <c r="B107" s="151" t="s">
        <v>737</v>
      </c>
      <c r="C107" s="151" t="s">
        <v>169</v>
      </c>
      <c r="D107" s="152" t="s">
        <v>133</v>
      </c>
      <c r="E107" s="152">
        <v>2006</v>
      </c>
      <c r="F107" s="153">
        <v>47</v>
      </c>
      <c r="G107" s="204">
        <v>20.9</v>
      </c>
      <c r="H107" s="219"/>
      <c r="I107" s="31"/>
      <c r="J107" s="143"/>
    </row>
    <row r="108" spans="2:10" x14ac:dyDescent="0.2">
      <c r="B108" s="151" t="s">
        <v>738</v>
      </c>
      <c r="C108" s="151" t="s">
        <v>169</v>
      </c>
      <c r="D108" s="152" t="s">
        <v>133</v>
      </c>
      <c r="E108" s="152">
        <v>2007</v>
      </c>
      <c r="F108" s="153">
        <v>70</v>
      </c>
      <c r="G108" s="204">
        <v>20.8</v>
      </c>
      <c r="H108" s="219"/>
      <c r="I108" s="31"/>
      <c r="J108" s="143"/>
    </row>
    <row r="109" spans="2:10" x14ac:dyDescent="0.2">
      <c r="B109" s="151" t="s">
        <v>739</v>
      </c>
      <c r="C109" s="151" t="s">
        <v>169</v>
      </c>
      <c r="D109" s="152" t="s">
        <v>133</v>
      </c>
      <c r="E109" s="152">
        <v>2008</v>
      </c>
      <c r="F109" s="153">
        <v>139</v>
      </c>
      <c r="G109" s="204">
        <v>20.399999999999999</v>
      </c>
      <c r="H109" s="219"/>
      <c r="I109" s="31"/>
      <c r="J109" s="143"/>
    </row>
    <row r="110" spans="2:10" x14ac:dyDescent="0.2">
      <c r="B110" s="151" t="s">
        <v>740</v>
      </c>
      <c r="C110" s="151" t="s">
        <v>169</v>
      </c>
      <c r="D110" s="152" t="s">
        <v>133</v>
      </c>
      <c r="E110" s="152">
        <v>2009</v>
      </c>
      <c r="F110" s="153">
        <v>33</v>
      </c>
      <c r="G110" s="204">
        <v>20.8</v>
      </c>
      <c r="H110" s="219"/>
      <c r="I110" s="31"/>
      <c r="J110" s="143"/>
    </row>
    <row r="111" spans="2:10" x14ac:dyDescent="0.2">
      <c r="B111" s="151" t="s">
        <v>741</v>
      </c>
      <c r="C111" s="151" t="s">
        <v>169</v>
      </c>
      <c r="D111" s="152" t="s">
        <v>133</v>
      </c>
      <c r="E111" s="152">
        <v>2010</v>
      </c>
      <c r="F111" s="153">
        <v>20</v>
      </c>
      <c r="G111" s="204">
        <v>20.5</v>
      </c>
      <c r="H111" s="219"/>
      <c r="I111" s="31"/>
      <c r="J111" s="143"/>
    </row>
    <row r="112" spans="2:10" x14ac:dyDescent="0.2">
      <c r="B112" s="151" t="s">
        <v>742</v>
      </c>
      <c r="C112" s="151" t="s">
        <v>169</v>
      </c>
      <c r="D112" s="152" t="s">
        <v>133</v>
      </c>
      <c r="E112" s="152">
        <v>2011</v>
      </c>
      <c r="F112" s="153">
        <v>31</v>
      </c>
      <c r="G112" s="204">
        <v>21.3</v>
      </c>
      <c r="H112" s="219"/>
      <c r="I112" s="31"/>
      <c r="J112" s="143"/>
    </row>
    <row r="113" spans="2:10" x14ac:dyDescent="0.2">
      <c r="B113" s="151" t="s">
        <v>661</v>
      </c>
      <c r="C113" s="151" t="s">
        <v>169</v>
      </c>
      <c r="D113" s="152" t="s">
        <v>133</v>
      </c>
      <c r="E113" s="152">
        <v>2012</v>
      </c>
      <c r="F113" s="153">
        <v>34</v>
      </c>
      <c r="G113" s="204">
        <v>21.9</v>
      </c>
      <c r="H113" s="219"/>
      <c r="I113" s="31"/>
      <c r="J113" s="143"/>
    </row>
    <row r="114" spans="2:10" x14ac:dyDescent="0.2">
      <c r="B114" s="151" t="s">
        <v>743</v>
      </c>
      <c r="C114" s="151" t="s">
        <v>169</v>
      </c>
      <c r="D114" s="152" t="s">
        <v>60</v>
      </c>
      <c r="E114" s="152">
        <v>2004</v>
      </c>
      <c r="F114" s="153">
        <v>668</v>
      </c>
      <c r="G114" s="204">
        <v>21.3</v>
      </c>
      <c r="H114" s="219"/>
      <c r="I114" s="31"/>
    </row>
    <row r="115" spans="2:10" x14ac:dyDescent="0.2">
      <c r="B115" s="151" t="s">
        <v>744</v>
      </c>
      <c r="C115" s="151" t="s">
        <v>169</v>
      </c>
      <c r="D115" s="152" t="s">
        <v>60</v>
      </c>
      <c r="E115" s="152">
        <v>2005</v>
      </c>
      <c r="F115" s="153">
        <v>678</v>
      </c>
      <c r="G115" s="204">
        <v>21.6</v>
      </c>
      <c r="H115" s="219"/>
      <c r="I115" s="31"/>
      <c r="J115" s="143"/>
    </row>
    <row r="116" spans="2:10" x14ac:dyDescent="0.2">
      <c r="B116" s="151" t="s">
        <v>745</v>
      </c>
      <c r="C116" s="151" t="s">
        <v>169</v>
      </c>
      <c r="D116" s="152" t="s">
        <v>60</v>
      </c>
      <c r="E116" s="152">
        <v>2006</v>
      </c>
      <c r="F116" s="153">
        <v>622</v>
      </c>
      <c r="G116" s="204">
        <v>21.8</v>
      </c>
      <c r="H116" s="219"/>
      <c r="I116" s="31"/>
      <c r="J116" s="143"/>
    </row>
    <row r="117" spans="2:10" x14ac:dyDescent="0.2">
      <c r="B117" s="151" t="s">
        <v>746</v>
      </c>
      <c r="C117" s="151" t="s">
        <v>169</v>
      </c>
      <c r="D117" s="152" t="s">
        <v>60</v>
      </c>
      <c r="E117" s="152">
        <v>2007</v>
      </c>
      <c r="F117" s="153">
        <v>654</v>
      </c>
      <c r="G117" s="204">
        <v>21.7</v>
      </c>
      <c r="H117" s="219"/>
      <c r="I117" s="31"/>
      <c r="J117" s="143"/>
    </row>
    <row r="118" spans="2:10" x14ac:dyDescent="0.2">
      <c r="B118" s="151" t="s">
        <v>747</v>
      </c>
      <c r="C118" s="151" t="s">
        <v>169</v>
      </c>
      <c r="D118" s="152" t="s">
        <v>60</v>
      </c>
      <c r="E118" s="152">
        <v>2008</v>
      </c>
      <c r="F118" s="153">
        <v>639</v>
      </c>
      <c r="G118" s="204">
        <v>21.9</v>
      </c>
      <c r="H118" s="219"/>
      <c r="I118" s="31"/>
      <c r="J118" s="143"/>
    </row>
    <row r="119" spans="2:10" x14ac:dyDescent="0.2">
      <c r="B119" s="151" t="s">
        <v>748</v>
      </c>
      <c r="C119" s="151" t="s">
        <v>169</v>
      </c>
      <c r="D119" s="152" t="s">
        <v>60</v>
      </c>
      <c r="E119" s="152">
        <v>2009</v>
      </c>
      <c r="F119" s="153">
        <v>775</v>
      </c>
      <c r="G119" s="204">
        <v>22</v>
      </c>
      <c r="H119" s="219"/>
      <c r="I119" s="31"/>
      <c r="J119" s="143"/>
    </row>
    <row r="120" spans="2:10" x14ac:dyDescent="0.2">
      <c r="B120" s="151" t="s">
        <v>749</v>
      </c>
      <c r="C120" s="151" t="s">
        <v>169</v>
      </c>
      <c r="D120" s="152" t="s">
        <v>60</v>
      </c>
      <c r="E120" s="152">
        <v>2010</v>
      </c>
      <c r="F120" s="153">
        <v>744</v>
      </c>
      <c r="G120" s="204">
        <v>22.4</v>
      </c>
      <c r="H120" s="219"/>
      <c r="I120" s="31"/>
      <c r="J120" s="143"/>
    </row>
    <row r="121" spans="2:10" x14ac:dyDescent="0.2">
      <c r="B121" s="151" t="s">
        <v>750</v>
      </c>
      <c r="C121" s="151" t="s">
        <v>169</v>
      </c>
      <c r="D121" s="152" t="s">
        <v>60</v>
      </c>
      <c r="E121" s="152">
        <v>2011</v>
      </c>
      <c r="F121" s="153">
        <v>665</v>
      </c>
      <c r="G121" s="204">
        <v>22.4</v>
      </c>
      <c r="H121" s="219"/>
      <c r="I121" s="31"/>
      <c r="J121" s="143"/>
    </row>
    <row r="122" spans="2:10" x14ac:dyDescent="0.2">
      <c r="B122" s="151" t="s">
        <v>662</v>
      </c>
      <c r="C122" s="151" t="s">
        <v>169</v>
      </c>
      <c r="D122" s="152" t="s">
        <v>60</v>
      </c>
      <c r="E122" s="152">
        <v>2012</v>
      </c>
      <c r="F122" s="153">
        <v>744</v>
      </c>
      <c r="G122" s="204">
        <v>22.2</v>
      </c>
      <c r="H122" s="219"/>
      <c r="I122" s="31"/>
      <c r="J122" s="143"/>
    </row>
    <row r="123" spans="2:10" ht="54.75" customHeight="1" thickBot="1" x14ac:dyDescent="0.25">
      <c r="B123" s="155"/>
      <c r="C123" s="142"/>
      <c r="D123" s="142"/>
      <c r="E123" s="142"/>
      <c r="F123" s="31"/>
      <c r="G123" s="31"/>
      <c r="H123" s="31"/>
      <c r="I123" s="31"/>
      <c r="J123" s="143"/>
    </row>
    <row r="124" spans="2:10" ht="18.75" thickBot="1" x14ac:dyDescent="0.25">
      <c r="B124" s="298" t="s">
        <v>170</v>
      </c>
      <c r="C124" s="299"/>
      <c r="D124" s="299"/>
      <c r="E124" s="299"/>
      <c r="F124" s="299"/>
      <c r="G124" s="299"/>
      <c r="H124" s="300"/>
      <c r="I124" s="143"/>
    </row>
    <row r="125" spans="2:10" ht="39" thickBot="1" x14ac:dyDescent="0.25">
      <c r="B125" s="156" t="s">
        <v>163</v>
      </c>
      <c r="C125" s="156" t="s">
        <v>164</v>
      </c>
      <c r="D125" s="156" t="s">
        <v>165</v>
      </c>
      <c r="E125" s="156" t="s">
        <v>166</v>
      </c>
      <c r="F125" s="157" t="s">
        <v>753</v>
      </c>
      <c r="G125" s="156" t="s">
        <v>172</v>
      </c>
      <c r="H125" s="182" t="s">
        <v>171</v>
      </c>
    </row>
    <row r="126" spans="2:10" x14ac:dyDescent="0.2">
      <c r="B126" s="151" t="s">
        <v>785</v>
      </c>
      <c r="C126" s="151" t="s">
        <v>168</v>
      </c>
      <c r="D126" s="152" t="s">
        <v>56</v>
      </c>
      <c r="E126" s="152">
        <v>2004</v>
      </c>
      <c r="F126" s="158">
        <v>2014</v>
      </c>
      <c r="G126" s="183"/>
      <c r="H126" s="183"/>
    </row>
    <row r="127" spans="2:10" x14ac:dyDescent="0.2">
      <c r="B127" s="151" t="s">
        <v>786</v>
      </c>
      <c r="C127" s="151" t="s">
        <v>168</v>
      </c>
      <c r="D127" s="152" t="s">
        <v>56</v>
      </c>
      <c r="E127" s="152">
        <v>2005</v>
      </c>
      <c r="F127" s="158">
        <v>2014</v>
      </c>
      <c r="G127" s="183"/>
      <c r="H127" s="183"/>
    </row>
    <row r="128" spans="2:10" x14ac:dyDescent="0.2">
      <c r="B128" s="151" t="s">
        <v>787</v>
      </c>
      <c r="C128" s="151" t="s">
        <v>168</v>
      </c>
      <c r="D128" s="152" t="s">
        <v>56</v>
      </c>
      <c r="E128" s="152">
        <v>2006</v>
      </c>
      <c r="F128" s="158">
        <v>2014</v>
      </c>
      <c r="G128" s="183"/>
      <c r="H128" s="183"/>
    </row>
    <row r="129" spans="2:8" x14ac:dyDescent="0.2">
      <c r="B129" s="151" t="s">
        <v>788</v>
      </c>
      <c r="C129" s="151" t="s">
        <v>168</v>
      </c>
      <c r="D129" s="152" t="s">
        <v>56</v>
      </c>
      <c r="E129" s="152">
        <v>2007</v>
      </c>
      <c r="F129" s="158">
        <v>2014</v>
      </c>
      <c r="G129" s="183"/>
      <c r="H129" s="183"/>
    </row>
    <row r="130" spans="2:8" x14ac:dyDescent="0.2">
      <c r="B130" s="151" t="s">
        <v>789</v>
      </c>
      <c r="C130" s="151" t="s">
        <v>168</v>
      </c>
      <c r="D130" s="152" t="s">
        <v>56</v>
      </c>
      <c r="E130" s="152">
        <v>2008</v>
      </c>
      <c r="F130" s="158">
        <v>2014</v>
      </c>
      <c r="G130" s="183"/>
      <c r="H130" s="183"/>
    </row>
    <row r="131" spans="2:8" x14ac:dyDescent="0.2">
      <c r="B131" s="151" t="s">
        <v>790</v>
      </c>
      <c r="C131" s="151" t="s">
        <v>168</v>
      </c>
      <c r="D131" s="152" t="s">
        <v>56</v>
      </c>
      <c r="E131" s="152">
        <v>2009</v>
      </c>
      <c r="F131" s="158">
        <v>2014</v>
      </c>
      <c r="G131" s="183"/>
      <c r="H131" s="183"/>
    </row>
    <row r="132" spans="2:8" x14ac:dyDescent="0.2">
      <c r="B132" s="151" t="s">
        <v>791</v>
      </c>
      <c r="C132" s="151" t="s">
        <v>168</v>
      </c>
      <c r="D132" s="152" t="s">
        <v>56</v>
      </c>
      <c r="E132" s="152">
        <v>2010</v>
      </c>
      <c r="F132" s="158">
        <v>2014</v>
      </c>
      <c r="G132" s="183"/>
      <c r="H132" s="183"/>
    </row>
    <row r="133" spans="2:8" x14ac:dyDescent="0.2">
      <c r="B133" s="151" t="s">
        <v>792</v>
      </c>
      <c r="C133" s="151" t="s">
        <v>168</v>
      </c>
      <c r="D133" s="152" t="s">
        <v>56</v>
      </c>
      <c r="E133" s="152">
        <v>2011</v>
      </c>
      <c r="F133" s="158">
        <v>2014</v>
      </c>
      <c r="G133" s="183"/>
      <c r="H133" s="183"/>
    </row>
    <row r="134" spans="2:8" x14ac:dyDescent="0.2">
      <c r="B134" s="151" t="s">
        <v>793</v>
      </c>
      <c r="C134" s="151" t="s">
        <v>168</v>
      </c>
      <c r="D134" s="152" t="s">
        <v>56</v>
      </c>
      <c r="E134" s="152">
        <v>2012</v>
      </c>
      <c r="F134" s="158">
        <v>2014</v>
      </c>
      <c r="G134" s="183"/>
      <c r="H134" s="183"/>
    </row>
    <row r="135" spans="2:8" x14ac:dyDescent="0.2">
      <c r="B135" s="151" t="s">
        <v>794</v>
      </c>
      <c r="C135" s="151" t="s">
        <v>168</v>
      </c>
      <c r="D135" s="152" t="s">
        <v>56</v>
      </c>
      <c r="E135" s="152">
        <v>2013</v>
      </c>
      <c r="F135" s="158">
        <v>2014</v>
      </c>
      <c r="G135" s="183"/>
      <c r="H135" s="183"/>
    </row>
    <row r="136" spans="2:8" x14ac:dyDescent="0.2">
      <c r="B136" s="151" t="s">
        <v>795</v>
      </c>
      <c r="C136" s="151" t="s">
        <v>168</v>
      </c>
      <c r="D136" s="152" t="s">
        <v>59</v>
      </c>
      <c r="E136" s="152">
        <v>2004</v>
      </c>
      <c r="F136" s="158">
        <v>2014</v>
      </c>
      <c r="G136" s="183"/>
      <c r="H136" s="183"/>
    </row>
    <row r="137" spans="2:8" x14ac:dyDescent="0.2">
      <c r="B137" s="151" t="s">
        <v>796</v>
      </c>
      <c r="C137" s="151" t="s">
        <v>168</v>
      </c>
      <c r="D137" s="152" t="s">
        <v>59</v>
      </c>
      <c r="E137" s="152">
        <v>2005</v>
      </c>
      <c r="F137" s="158">
        <v>2014</v>
      </c>
      <c r="G137" s="183"/>
      <c r="H137" s="183"/>
    </row>
    <row r="138" spans="2:8" x14ac:dyDescent="0.2">
      <c r="B138" s="151" t="s">
        <v>797</v>
      </c>
      <c r="C138" s="151" t="s">
        <v>168</v>
      </c>
      <c r="D138" s="152" t="s">
        <v>59</v>
      </c>
      <c r="E138" s="152">
        <v>2006</v>
      </c>
      <c r="F138" s="158">
        <v>2014</v>
      </c>
      <c r="G138" s="183"/>
      <c r="H138" s="183"/>
    </row>
    <row r="139" spans="2:8" x14ac:dyDescent="0.2">
      <c r="B139" s="151" t="s">
        <v>798</v>
      </c>
      <c r="C139" s="151" t="s">
        <v>168</v>
      </c>
      <c r="D139" s="152" t="s">
        <v>59</v>
      </c>
      <c r="E139" s="152">
        <v>2007</v>
      </c>
      <c r="F139" s="158">
        <v>2014</v>
      </c>
      <c r="G139" s="183"/>
      <c r="H139" s="183"/>
    </row>
    <row r="140" spans="2:8" x14ac:dyDescent="0.2">
      <c r="B140" s="151" t="s">
        <v>799</v>
      </c>
      <c r="C140" s="151" t="s">
        <v>168</v>
      </c>
      <c r="D140" s="152" t="s">
        <v>59</v>
      </c>
      <c r="E140" s="152">
        <v>2008</v>
      </c>
      <c r="F140" s="158">
        <v>2014</v>
      </c>
      <c r="G140" s="183"/>
      <c r="H140" s="183"/>
    </row>
    <row r="141" spans="2:8" x14ac:dyDescent="0.2">
      <c r="B141" s="151" t="s">
        <v>800</v>
      </c>
      <c r="C141" s="151" t="s">
        <v>168</v>
      </c>
      <c r="D141" s="152" t="s">
        <v>59</v>
      </c>
      <c r="E141" s="152">
        <v>2009</v>
      </c>
      <c r="F141" s="158">
        <v>2014</v>
      </c>
      <c r="G141" s="183"/>
      <c r="H141" s="183"/>
    </row>
    <row r="142" spans="2:8" x14ac:dyDescent="0.2">
      <c r="B142" s="151" t="s">
        <v>801</v>
      </c>
      <c r="C142" s="151" t="s">
        <v>168</v>
      </c>
      <c r="D142" s="152" t="s">
        <v>59</v>
      </c>
      <c r="E142" s="152">
        <v>2010</v>
      </c>
      <c r="F142" s="158">
        <v>2014</v>
      </c>
      <c r="G142" s="183"/>
      <c r="H142" s="183"/>
    </row>
    <row r="143" spans="2:8" x14ac:dyDescent="0.2">
      <c r="B143" s="151" t="s">
        <v>802</v>
      </c>
      <c r="C143" s="151" t="s">
        <v>168</v>
      </c>
      <c r="D143" s="152" t="s">
        <v>59</v>
      </c>
      <c r="E143" s="152">
        <v>2011</v>
      </c>
      <c r="F143" s="158">
        <v>2014</v>
      </c>
      <c r="G143" s="183"/>
      <c r="H143" s="183"/>
    </row>
    <row r="144" spans="2:8" x14ac:dyDescent="0.2">
      <c r="B144" s="151" t="s">
        <v>803</v>
      </c>
      <c r="C144" s="151" t="s">
        <v>168</v>
      </c>
      <c r="D144" s="152" t="s">
        <v>59</v>
      </c>
      <c r="E144" s="152">
        <v>2012</v>
      </c>
      <c r="F144" s="158">
        <v>2014</v>
      </c>
      <c r="G144" s="183"/>
      <c r="H144" s="183"/>
    </row>
    <row r="145" spans="2:8" x14ac:dyDescent="0.2">
      <c r="B145" s="151" t="s">
        <v>804</v>
      </c>
      <c r="C145" s="151" t="s">
        <v>168</v>
      </c>
      <c r="D145" s="152" t="s">
        <v>59</v>
      </c>
      <c r="E145" s="152">
        <v>2013</v>
      </c>
      <c r="F145" s="158">
        <v>2014</v>
      </c>
      <c r="G145" s="183"/>
      <c r="H145" s="183"/>
    </row>
    <row r="146" spans="2:8" x14ac:dyDescent="0.2">
      <c r="B146" s="151" t="s">
        <v>805</v>
      </c>
      <c r="C146" s="151" t="s">
        <v>168</v>
      </c>
      <c r="D146" s="152" t="s">
        <v>58</v>
      </c>
      <c r="E146" s="152">
        <v>2004</v>
      </c>
      <c r="F146" s="158">
        <v>2014</v>
      </c>
      <c r="G146" s="183"/>
      <c r="H146" s="183"/>
    </row>
    <row r="147" spans="2:8" x14ac:dyDescent="0.2">
      <c r="B147" s="151" t="s">
        <v>806</v>
      </c>
      <c r="C147" s="151" t="s">
        <v>168</v>
      </c>
      <c r="D147" s="152" t="s">
        <v>58</v>
      </c>
      <c r="E147" s="152">
        <v>2005</v>
      </c>
      <c r="F147" s="158">
        <v>2014</v>
      </c>
      <c r="G147" s="183"/>
      <c r="H147" s="183"/>
    </row>
    <row r="148" spans="2:8" x14ac:dyDescent="0.2">
      <c r="B148" s="151" t="s">
        <v>807</v>
      </c>
      <c r="C148" s="151" t="s">
        <v>168</v>
      </c>
      <c r="D148" s="152" t="s">
        <v>58</v>
      </c>
      <c r="E148" s="152">
        <v>2006</v>
      </c>
      <c r="F148" s="158">
        <v>2014</v>
      </c>
      <c r="G148" s="183"/>
      <c r="H148" s="183"/>
    </row>
    <row r="149" spans="2:8" x14ac:dyDescent="0.2">
      <c r="B149" s="151" t="s">
        <v>808</v>
      </c>
      <c r="C149" s="151" t="s">
        <v>168</v>
      </c>
      <c r="D149" s="152" t="s">
        <v>58</v>
      </c>
      <c r="E149" s="152">
        <v>2007</v>
      </c>
      <c r="F149" s="158">
        <v>2014</v>
      </c>
      <c r="G149" s="183"/>
      <c r="H149" s="183"/>
    </row>
    <row r="150" spans="2:8" x14ac:dyDescent="0.2">
      <c r="B150" s="151" t="s">
        <v>809</v>
      </c>
      <c r="C150" s="151" t="s">
        <v>168</v>
      </c>
      <c r="D150" s="152" t="s">
        <v>58</v>
      </c>
      <c r="E150" s="152">
        <v>2008</v>
      </c>
      <c r="F150" s="158">
        <v>2014</v>
      </c>
      <c r="G150" s="183"/>
      <c r="H150" s="183"/>
    </row>
    <row r="151" spans="2:8" x14ac:dyDescent="0.2">
      <c r="B151" s="151" t="s">
        <v>810</v>
      </c>
      <c r="C151" s="151" t="s">
        <v>168</v>
      </c>
      <c r="D151" s="152" t="s">
        <v>58</v>
      </c>
      <c r="E151" s="152">
        <v>2009</v>
      </c>
      <c r="F151" s="158">
        <v>2014</v>
      </c>
      <c r="G151" s="183"/>
      <c r="H151" s="183"/>
    </row>
    <row r="152" spans="2:8" x14ac:dyDescent="0.2">
      <c r="B152" s="151" t="s">
        <v>811</v>
      </c>
      <c r="C152" s="151" t="s">
        <v>168</v>
      </c>
      <c r="D152" s="152" t="s">
        <v>58</v>
      </c>
      <c r="E152" s="152">
        <v>2010</v>
      </c>
      <c r="F152" s="158">
        <v>2014</v>
      </c>
      <c r="G152" s="183"/>
      <c r="H152" s="183"/>
    </row>
    <row r="153" spans="2:8" x14ac:dyDescent="0.2">
      <c r="B153" s="151" t="s">
        <v>812</v>
      </c>
      <c r="C153" s="151" t="s">
        <v>168</v>
      </c>
      <c r="D153" s="152" t="s">
        <v>58</v>
      </c>
      <c r="E153" s="152">
        <v>2011</v>
      </c>
      <c r="F153" s="158">
        <v>2014</v>
      </c>
      <c r="G153" s="183"/>
      <c r="H153" s="183"/>
    </row>
    <row r="154" spans="2:8" x14ac:dyDescent="0.2">
      <c r="B154" s="151" t="s">
        <v>813</v>
      </c>
      <c r="C154" s="151" t="s">
        <v>168</v>
      </c>
      <c r="D154" s="152" t="s">
        <v>58</v>
      </c>
      <c r="E154" s="152">
        <v>2012</v>
      </c>
      <c r="F154" s="158">
        <v>2014</v>
      </c>
      <c r="G154" s="183"/>
      <c r="H154" s="183"/>
    </row>
    <row r="155" spans="2:8" x14ac:dyDescent="0.2">
      <c r="B155" s="151" t="s">
        <v>814</v>
      </c>
      <c r="C155" s="151" t="s">
        <v>168</v>
      </c>
      <c r="D155" s="152" t="s">
        <v>58</v>
      </c>
      <c r="E155" s="152">
        <v>2013</v>
      </c>
      <c r="F155" s="158">
        <v>2014</v>
      </c>
      <c r="G155" s="183"/>
      <c r="H155" s="183"/>
    </row>
    <row r="156" spans="2:8" x14ac:dyDescent="0.2">
      <c r="B156" s="151" t="s">
        <v>815</v>
      </c>
      <c r="C156" s="151" t="s">
        <v>168</v>
      </c>
      <c r="D156" s="152" t="s">
        <v>57</v>
      </c>
      <c r="E156" s="152">
        <v>2004</v>
      </c>
      <c r="F156" s="158">
        <v>2014</v>
      </c>
      <c r="G156" s="183"/>
      <c r="H156" s="183"/>
    </row>
    <row r="157" spans="2:8" x14ac:dyDescent="0.2">
      <c r="B157" s="151" t="s">
        <v>816</v>
      </c>
      <c r="C157" s="151" t="s">
        <v>168</v>
      </c>
      <c r="D157" s="152" t="s">
        <v>57</v>
      </c>
      <c r="E157" s="152">
        <v>2005</v>
      </c>
      <c r="F157" s="158">
        <v>2014</v>
      </c>
      <c r="G157" s="183"/>
      <c r="H157" s="183"/>
    </row>
    <row r="158" spans="2:8" x14ac:dyDescent="0.2">
      <c r="B158" s="151" t="s">
        <v>817</v>
      </c>
      <c r="C158" s="151" t="s">
        <v>168</v>
      </c>
      <c r="D158" s="152" t="s">
        <v>57</v>
      </c>
      <c r="E158" s="152">
        <v>2006</v>
      </c>
      <c r="F158" s="158">
        <v>2014</v>
      </c>
      <c r="G158" s="183"/>
      <c r="H158" s="183"/>
    </row>
    <row r="159" spans="2:8" x14ac:dyDescent="0.2">
      <c r="B159" s="151" t="s">
        <v>818</v>
      </c>
      <c r="C159" s="151" t="s">
        <v>168</v>
      </c>
      <c r="D159" s="152" t="s">
        <v>57</v>
      </c>
      <c r="E159" s="152">
        <v>2007</v>
      </c>
      <c r="F159" s="158">
        <v>2014</v>
      </c>
      <c r="G159" s="183"/>
      <c r="H159" s="183"/>
    </row>
    <row r="160" spans="2:8" x14ac:dyDescent="0.2">
      <c r="B160" s="151" t="s">
        <v>819</v>
      </c>
      <c r="C160" s="151" t="s">
        <v>168</v>
      </c>
      <c r="D160" s="152" t="s">
        <v>57</v>
      </c>
      <c r="E160" s="152">
        <v>2008</v>
      </c>
      <c r="F160" s="158">
        <v>2014</v>
      </c>
      <c r="G160" s="183"/>
      <c r="H160" s="183"/>
    </row>
    <row r="161" spans="2:8" x14ac:dyDescent="0.2">
      <c r="B161" s="151" t="s">
        <v>820</v>
      </c>
      <c r="C161" s="151" t="s">
        <v>168</v>
      </c>
      <c r="D161" s="152" t="s">
        <v>57</v>
      </c>
      <c r="E161" s="152">
        <v>2009</v>
      </c>
      <c r="F161" s="158">
        <v>2014</v>
      </c>
      <c r="G161" s="183"/>
      <c r="H161" s="183"/>
    </row>
    <row r="162" spans="2:8" x14ac:dyDescent="0.2">
      <c r="B162" s="151" t="s">
        <v>821</v>
      </c>
      <c r="C162" s="151" t="s">
        <v>168</v>
      </c>
      <c r="D162" s="152" t="s">
        <v>57</v>
      </c>
      <c r="E162" s="152">
        <v>2010</v>
      </c>
      <c r="F162" s="158">
        <v>2014</v>
      </c>
      <c r="G162" s="183"/>
      <c r="H162" s="183"/>
    </row>
    <row r="163" spans="2:8" x14ac:dyDescent="0.2">
      <c r="B163" s="151" t="s">
        <v>822</v>
      </c>
      <c r="C163" s="151" t="s">
        <v>168</v>
      </c>
      <c r="D163" s="152" t="s">
        <v>57</v>
      </c>
      <c r="E163" s="152">
        <v>2011</v>
      </c>
      <c r="F163" s="158">
        <v>2014</v>
      </c>
      <c r="G163" s="183"/>
      <c r="H163" s="183"/>
    </row>
    <row r="164" spans="2:8" x14ac:dyDescent="0.2">
      <c r="B164" s="151" t="s">
        <v>823</v>
      </c>
      <c r="C164" s="151" t="s">
        <v>168</v>
      </c>
      <c r="D164" s="152" t="s">
        <v>57</v>
      </c>
      <c r="E164" s="152">
        <v>2012</v>
      </c>
      <c r="F164" s="158">
        <v>2014</v>
      </c>
      <c r="G164" s="183"/>
      <c r="H164" s="183"/>
    </row>
    <row r="165" spans="2:8" x14ac:dyDescent="0.2">
      <c r="B165" s="151" t="s">
        <v>824</v>
      </c>
      <c r="C165" s="151" t="s">
        <v>168</v>
      </c>
      <c r="D165" s="152" t="s">
        <v>57</v>
      </c>
      <c r="E165" s="152">
        <v>2013</v>
      </c>
      <c r="F165" s="158">
        <v>2014</v>
      </c>
      <c r="G165" s="183"/>
      <c r="H165" s="183"/>
    </row>
    <row r="166" spans="2:8" x14ac:dyDescent="0.2">
      <c r="B166" s="202" t="s">
        <v>825</v>
      </c>
      <c r="C166" s="151" t="s">
        <v>168</v>
      </c>
      <c r="D166" s="152" t="s">
        <v>134</v>
      </c>
      <c r="E166" s="152">
        <v>2008</v>
      </c>
      <c r="F166" s="158">
        <v>2014</v>
      </c>
      <c r="G166" s="183"/>
      <c r="H166" s="183"/>
    </row>
    <row r="167" spans="2:8" x14ac:dyDescent="0.2">
      <c r="B167" s="151" t="s">
        <v>826</v>
      </c>
      <c r="C167" s="151" t="s">
        <v>897</v>
      </c>
      <c r="D167" s="152" t="s">
        <v>134</v>
      </c>
      <c r="E167" s="152">
        <v>2009</v>
      </c>
      <c r="F167" s="158">
        <v>2014</v>
      </c>
      <c r="G167" s="183"/>
      <c r="H167" s="183"/>
    </row>
    <row r="168" spans="2:8" x14ac:dyDescent="0.2">
      <c r="B168" s="151" t="s">
        <v>827</v>
      </c>
      <c r="C168" s="151" t="s">
        <v>168</v>
      </c>
      <c r="D168" s="152" t="s">
        <v>134</v>
      </c>
      <c r="E168" s="152">
        <v>2010</v>
      </c>
      <c r="F168" s="158">
        <v>2014</v>
      </c>
      <c r="G168" s="183"/>
      <c r="H168" s="183"/>
    </row>
    <row r="169" spans="2:8" x14ac:dyDescent="0.2">
      <c r="B169" s="151" t="s">
        <v>828</v>
      </c>
      <c r="C169" s="151" t="s">
        <v>168</v>
      </c>
      <c r="D169" s="152" t="s">
        <v>134</v>
      </c>
      <c r="E169" s="152">
        <v>2011</v>
      </c>
      <c r="F169" s="158">
        <v>2014</v>
      </c>
      <c r="G169" s="183"/>
      <c r="H169" s="183"/>
    </row>
    <row r="170" spans="2:8" x14ac:dyDescent="0.2">
      <c r="B170" s="151" t="s">
        <v>829</v>
      </c>
      <c r="C170" s="151" t="s">
        <v>168</v>
      </c>
      <c r="D170" s="152" t="s">
        <v>134</v>
      </c>
      <c r="E170" s="152">
        <v>2012</v>
      </c>
      <c r="F170" s="158">
        <v>2014</v>
      </c>
      <c r="G170" s="183"/>
      <c r="H170" s="183"/>
    </row>
    <row r="171" spans="2:8" x14ac:dyDescent="0.2">
      <c r="B171" s="151" t="s">
        <v>830</v>
      </c>
      <c r="C171" s="151" t="s">
        <v>168</v>
      </c>
      <c r="D171" s="152" t="s">
        <v>134</v>
      </c>
      <c r="E171" s="152">
        <v>2013</v>
      </c>
      <c r="F171" s="158">
        <v>2014</v>
      </c>
      <c r="G171" s="183"/>
      <c r="H171" s="183"/>
    </row>
    <row r="172" spans="2:8" x14ac:dyDescent="0.2">
      <c r="B172" s="151" t="s">
        <v>831</v>
      </c>
      <c r="C172" s="151" t="s">
        <v>168</v>
      </c>
      <c r="D172" s="152" t="s">
        <v>55</v>
      </c>
      <c r="E172" s="152">
        <v>2004</v>
      </c>
      <c r="F172" s="158">
        <v>2014</v>
      </c>
      <c r="G172" s="183"/>
      <c r="H172" s="183"/>
    </row>
    <row r="173" spans="2:8" x14ac:dyDescent="0.2">
      <c r="B173" s="151" t="s">
        <v>832</v>
      </c>
      <c r="C173" s="151" t="s">
        <v>168</v>
      </c>
      <c r="D173" s="152" t="s">
        <v>55</v>
      </c>
      <c r="E173" s="152">
        <v>2005</v>
      </c>
      <c r="F173" s="158">
        <v>2014</v>
      </c>
      <c r="G173" s="183"/>
      <c r="H173" s="183"/>
    </row>
    <row r="174" spans="2:8" x14ac:dyDescent="0.2">
      <c r="B174" s="151" t="s">
        <v>833</v>
      </c>
      <c r="C174" s="151" t="s">
        <v>168</v>
      </c>
      <c r="D174" s="152" t="s">
        <v>55</v>
      </c>
      <c r="E174" s="152">
        <v>2006</v>
      </c>
      <c r="F174" s="158">
        <v>2014</v>
      </c>
      <c r="G174" s="183"/>
      <c r="H174" s="183"/>
    </row>
    <row r="175" spans="2:8" x14ac:dyDescent="0.2">
      <c r="B175" s="151" t="s">
        <v>834</v>
      </c>
      <c r="C175" s="151" t="s">
        <v>168</v>
      </c>
      <c r="D175" s="152" t="s">
        <v>55</v>
      </c>
      <c r="E175" s="152">
        <v>2007</v>
      </c>
      <c r="F175" s="158">
        <v>2014</v>
      </c>
      <c r="G175" s="183"/>
      <c r="H175" s="183"/>
    </row>
    <row r="176" spans="2:8" x14ac:dyDescent="0.2">
      <c r="B176" s="151" t="s">
        <v>835</v>
      </c>
      <c r="C176" s="151" t="s">
        <v>168</v>
      </c>
      <c r="D176" s="152" t="s">
        <v>55</v>
      </c>
      <c r="E176" s="152">
        <v>2008</v>
      </c>
      <c r="F176" s="158">
        <v>2014</v>
      </c>
      <c r="G176" s="183"/>
      <c r="H176" s="183"/>
    </row>
    <row r="177" spans="2:8" x14ac:dyDescent="0.2">
      <c r="B177" s="151" t="s">
        <v>836</v>
      </c>
      <c r="C177" s="151" t="s">
        <v>168</v>
      </c>
      <c r="D177" s="152" t="s">
        <v>55</v>
      </c>
      <c r="E177" s="152">
        <v>2009</v>
      </c>
      <c r="F177" s="158">
        <v>2014</v>
      </c>
      <c r="G177" s="183"/>
      <c r="H177" s="183"/>
    </row>
    <row r="178" spans="2:8" x14ac:dyDescent="0.2">
      <c r="B178" s="151" t="s">
        <v>837</v>
      </c>
      <c r="C178" s="151" t="s">
        <v>168</v>
      </c>
      <c r="D178" s="152" t="s">
        <v>55</v>
      </c>
      <c r="E178" s="152">
        <v>2010</v>
      </c>
      <c r="F178" s="158">
        <v>2014</v>
      </c>
      <c r="G178" s="183"/>
      <c r="H178" s="183"/>
    </row>
    <row r="179" spans="2:8" x14ac:dyDescent="0.2">
      <c r="B179" s="151" t="s">
        <v>838</v>
      </c>
      <c r="C179" s="151" t="s">
        <v>168</v>
      </c>
      <c r="D179" s="152" t="s">
        <v>55</v>
      </c>
      <c r="E179" s="152">
        <v>2011</v>
      </c>
      <c r="F179" s="158">
        <v>2014</v>
      </c>
      <c r="G179" s="183"/>
      <c r="H179" s="183"/>
    </row>
    <row r="180" spans="2:8" x14ac:dyDescent="0.2">
      <c r="B180" s="151" t="s">
        <v>839</v>
      </c>
      <c r="C180" s="151" t="s">
        <v>168</v>
      </c>
      <c r="D180" s="152" t="s">
        <v>55</v>
      </c>
      <c r="E180" s="152">
        <v>2012</v>
      </c>
      <c r="F180" s="158">
        <v>2014</v>
      </c>
      <c r="G180" s="183"/>
      <c r="H180" s="183"/>
    </row>
    <row r="181" spans="2:8" x14ac:dyDescent="0.2">
      <c r="B181" s="151" t="s">
        <v>840</v>
      </c>
      <c r="C181" s="151" t="s">
        <v>168</v>
      </c>
      <c r="D181" s="152" t="s">
        <v>55</v>
      </c>
      <c r="E181" s="152">
        <v>2013</v>
      </c>
      <c r="F181" s="158">
        <v>2014</v>
      </c>
      <c r="G181" s="183"/>
      <c r="H181" s="183"/>
    </row>
    <row r="182" spans="2:8" x14ac:dyDescent="0.2">
      <c r="B182" s="151" t="s">
        <v>841</v>
      </c>
      <c r="C182" s="151" t="s">
        <v>168</v>
      </c>
      <c r="D182" s="152" t="s">
        <v>54</v>
      </c>
      <c r="E182" s="152">
        <v>2004</v>
      </c>
      <c r="F182" s="158">
        <v>2014</v>
      </c>
      <c r="G182" s="183"/>
      <c r="H182" s="183"/>
    </row>
    <row r="183" spans="2:8" x14ac:dyDescent="0.2">
      <c r="B183" s="151" t="s">
        <v>842</v>
      </c>
      <c r="C183" s="151" t="s">
        <v>168</v>
      </c>
      <c r="D183" s="152" t="s">
        <v>54</v>
      </c>
      <c r="E183" s="152">
        <v>2005</v>
      </c>
      <c r="F183" s="158">
        <v>2014</v>
      </c>
      <c r="G183" s="183"/>
      <c r="H183" s="183"/>
    </row>
    <row r="184" spans="2:8" x14ac:dyDescent="0.2">
      <c r="B184" s="151" t="s">
        <v>843</v>
      </c>
      <c r="C184" s="151" t="s">
        <v>168</v>
      </c>
      <c r="D184" s="152" t="s">
        <v>54</v>
      </c>
      <c r="E184" s="152">
        <v>2006</v>
      </c>
      <c r="F184" s="158">
        <v>2014</v>
      </c>
      <c r="G184" s="183"/>
      <c r="H184" s="183"/>
    </row>
    <row r="185" spans="2:8" x14ac:dyDescent="0.2">
      <c r="B185" s="151" t="s">
        <v>844</v>
      </c>
      <c r="C185" s="151" t="s">
        <v>168</v>
      </c>
      <c r="D185" s="152" t="s">
        <v>54</v>
      </c>
      <c r="E185" s="152">
        <v>2007</v>
      </c>
      <c r="F185" s="158">
        <v>2014</v>
      </c>
      <c r="G185" s="183"/>
      <c r="H185" s="183"/>
    </row>
    <row r="186" spans="2:8" x14ac:dyDescent="0.2">
      <c r="B186" s="151" t="s">
        <v>845</v>
      </c>
      <c r="C186" s="151" t="s">
        <v>168</v>
      </c>
      <c r="D186" s="152" t="s">
        <v>54</v>
      </c>
      <c r="E186" s="152">
        <v>2008</v>
      </c>
      <c r="F186" s="158">
        <v>2014</v>
      </c>
      <c r="G186" s="183"/>
      <c r="H186" s="183"/>
    </row>
    <row r="187" spans="2:8" x14ac:dyDescent="0.2">
      <c r="B187" s="151" t="s">
        <v>846</v>
      </c>
      <c r="C187" s="151" t="s">
        <v>168</v>
      </c>
      <c r="D187" s="152" t="s">
        <v>54</v>
      </c>
      <c r="E187" s="152">
        <v>2009</v>
      </c>
      <c r="F187" s="158">
        <v>2014</v>
      </c>
      <c r="G187" s="183"/>
      <c r="H187" s="183"/>
    </row>
    <row r="188" spans="2:8" x14ac:dyDescent="0.2">
      <c r="B188" s="151" t="s">
        <v>847</v>
      </c>
      <c r="C188" s="151" t="s">
        <v>168</v>
      </c>
      <c r="D188" s="152" t="s">
        <v>54</v>
      </c>
      <c r="E188" s="152">
        <v>2010</v>
      </c>
      <c r="F188" s="158">
        <v>2014</v>
      </c>
      <c r="G188" s="183"/>
      <c r="H188" s="183"/>
    </row>
    <row r="189" spans="2:8" x14ac:dyDescent="0.2">
      <c r="B189" s="151" t="s">
        <v>848</v>
      </c>
      <c r="C189" s="151" t="s">
        <v>168</v>
      </c>
      <c r="D189" s="152" t="s">
        <v>54</v>
      </c>
      <c r="E189" s="152">
        <v>2011</v>
      </c>
      <c r="F189" s="158">
        <v>2014</v>
      </c>
      <c r="G189" s="183"/>
      <c r="H189" s="183"/>
    </row>
    <row r="190" spans="2:8" x14ac:dyDescent="0.2">
      <c r="B190" s="151" t="s">
        <v>849</v>
      </c>
      <c r="C190" s="151" t="s">
        <v>168</v>
      </c>
      <c r="D190" s="152" t="s">
        <v>54</v>
      </c>
      <c r="E190" s="152">
        <v>2012</v>
      </c>
      <c r="F190" s="158">
        <v>2014</v>
      </c>
      <c r="G190" s="183"/>
      <c r="H190" s="183"/>
    </row>
    <row r="191" spans="2:8" x14ac:dyDescent="0.2">
      <c r="B191" s="151" t="s">
        <v>850</v>
      </c>
      <c r="C191" s="151" t="s">
        <v>168</v>
      </c>
      <c r="D191" s="152" t="s">
        <v>54</v>
      </c>
      <c r="E191" s="152">
        <v>2013</v>
      </c>
      <c r="F191" s="158">
        <v>2014</v>
      </c>
      <c r="G191" s="183"/>
      <c r="H191" s="183"/>
    </row>
    <row r="192" spans="2:8" x14ac:dyDescent="0.2">
      <c r="B192" s="202" t="s">
        <v>851</v>
      </c>
      <c r="C192" s="151" t="s">
        <v>168</v>
      </c>
      <c r="D192" s="152" t="s">
        <v>135</v>
      </c>
      <c r="E192" s="152">
        <v>2008</v>
      </c>
      <c r="F192" s="158">
        <v>2014</v>
      </c>
      <c r="G192" s="183"/>
      <c r="H192" s="183"/>
    </row>
    <row r="193" spans="2:8" x14ac:dyDescent="0.2">
      <c r="B193" s="151" t="s">
        <v>852</v>
      </c>
      <c r="C193" s="151" t="s">
        <v>897</v>
      </c>
      <c r="D193" s="152" t="s">
        <v>135</v>
      </c>
      <c r="E193" s="152">
        <v>2009</v>
      </c>
      <c r="F193" s="158">
        <v>2014</v>
      </c>
      <c r="G193" s="183"/>
      <c r="H193" s="183"/>
    </row>
    <row r="194" spans="2:8" x14ac:dyDescent="0.2">
      <c r="B194" s="151" t="s">
        <v>853</v>
      </c>
      <c r="C194" s="151" t="s">
        <v>168</v>
      </c>
      <c r="D194" s="152" t="s">
        <v>135</v>
      </c>
      <c r="E194" s="152">
        <v>2010</v>
      </c>
      <c r="F194" s="158">
        <v>2014</v>
      </c>
      <c r="G194" s="183"/>
      <c r="H194" s="183"/>
    </row>
    <row r="195" spans="2:8" x14ac:dyDescent="0.2">
      <c r="B195" s="151" t="s">
        <v>854</v>
      </c>
      <c r="C195" s="151" t="s">
        <v>168</v>
      </c>
      <c r="D195" s="152" t="s">
        <v>135</v>
      </c>
      <c r="E195" s="152">
        <v>2011</v>
      </c>
      <c r="F195" s="158">
        <v>2014</v>
      </c>
      <c r="G195" s="183"/>
      <c r="H195" s="183"/>
    </row>
    <row r="196" spans="2:8" x14ac:dyDescent="0.2">
      <c r="B196" s="151" t="s">
        <v>855</v>
      </c>
      <c r="C196" s="151" t="s">
        <v>168</v>
      </c>
      <c r="D196" s="152" t="s">
        <v>135</v>
      </c>
      <c r="E196" s="152">
        <v>2012</v>
      </c>
      <c r="F196" s="158">
        <v>2014</v>
      </c>
      <c r="G196" s="183"/>
      <c r="H196" s="183"/>
    </row>
    <row r="197" spans="2:8" x14ac:dyDescent="0.2">
      <c r="B197" s="151" t="s">
        <v>856</v>
      </c>
      <c r="C197" s="151" t="s">
        <v>168</v>
      </c>
      <c r="D197" s="152" t="s">
        <v>135</v>
      </c>
      <c r="E197" s="152">
        <v>2013</v>
      </c>
      <c r="F197" s="158">
        <v>2014</v>
      </c>
      <c r="G197" s="183"/>
      <c r="H197" s="183"/>
    </row>
    <row r="198" spans="2:8" x14ac:dyDescent="0.2">
      <c r="B198" s="151" t="s">
        <v>857</v>
      </c>
      <c r="C198" s="151" t="s">
        <v>168</v>
      </c>
      <c r="D198" s="152" t="s">
        <v>142</v>
      </c>
      <c r="E198" s="152">
        <v>2004</v>
      </c>
      <c r="F198" s="158">
        <v>2014</v>
      </c>
      <c r="G198" s="183"/>
      <c r="H198" s="183"/>
    </row>
    <row r="199" spans="2:8" x14ac:dyDescent="0.2">
      <c r="B199" s="151" t="s">
        <v>858</v>
      </c>
      <c r="C199" s="151" t="s">
        <v>168</v>
      </c>
      <c r="D199" s="152" t="s">
        <v>142</v>
      </c>
      <c r="E199" s="152">
        <v>2005</v>
      </c>
      <c r="F199" s="158">
        <v>2014</v>
      </c>
      <c r="G199" s="183"/>
      <c r="H199" s="183"/>
    </row>
    <row r="200" spans="2:8" x14ac:dyDescent="0.2">
      <c r="B200" s="151" t="s">
        <v>859</v>
      </c>
      <c r="C200" s="151" t="s">
        <v>168</v>
      </c>
      <c r="D200" s="152" t="s">
        <v>142</v>
      </c>
      <c r="E200" s="152">
        <v>2006</v>
      </c>
      <c r="F200" s="158">
        <v>2014</v>
      </c>
      <c r="G200" s="183"/>
      <c r="H200" s="183"/>
    </row>
    <row r="201" spans="2:8" x14ac:dyDescent="0.2">
      <c r="B201" s="151" t="s">
        <v>860</v>
      </c>
      <c r="C201" s="151" t="s">
        <v>168</v>
      </c>
      <c r="D201" s="152" t="s">
        <v>142</v>
      </c>
      <c r="E201" s="152">
        <v>2007</v>
      </c>
      <c r="F201" s="158">
        <v>2014</v>
      </c>
      <c r="G201" s="183"/>
      <c r="H201" s="183"/>
    </row>
    <row r="202" spans="2:8" x14ac:dyDescent="0.2">
      <c r="B202" s="151" t="s">
        <v>861</v>
      </c>
      <c r="C202" s="151" t="s">
        <v>168</v>
      </c>
      <c r="D202" s="152" t="s">
        <v>142</v>
      </c>
      <c r="E202" s="152">
        <v>2008</v>
      </c>
      <c r="F202" s="158">
        <v>2014</v>
      </c>
      <c r="G202" s="183"/>
      <c r="H202" s="183"/>
    </row>
    <row r="203" spans="2:8" x14ac:dyDescent="0.2">
      <c r="B203" s="151" t="s">
        <v>862</v>
      </c>
      <c r="C203" s="151" t="s">
        <v>168</v>
      </c>
      <c r="D203" s="152" t="s">
        <v>142</v>
      </c>
      <c r="E203" s="152">
        <v>2009</v>
      </c>
      <c r="F203" s="158">
        <v>2014</v>
      </c>
      <c r="G203" s="183"/>
      <c r="H203" s="183"/>
    </row>
    <row r="204" spans="2:8" x14ac:dyDescent="0.2">
      <c r="B204" s="151" t="s">
        <v>863</v>
      </c>
      <c r="C204" s="151" t="s">
        <v>168</v>
      </c>
      <c r="D204" s="152" t="s">
        <v>142</v>
      </c>
      <c r="E204" s="152">
        <v>2010</v>
      </c>
      <c r="F204" s="158">
        <v>2014</v>
      </c>
      <c r="G204" s="183"/>
      <c r="H204" s="183"/>
    </row>
    <row r="205" spans="2:8" x14ac:dyDescent="0.2">
      <c r="B205" s="151" t="s">
        <v>864</v>
      </c>
      <c r="C205" s="151" t="s">
        <v>168</v>
      </c>
      <c r="D205" s="152" t="s">
        <v>142</v>
      </c>
      <c r="E205" s="152">
        <v>2011</v>
      </c>
      <c r="F205" s="158">
        <v>2014</v>
      </c>
      <c r="G205" s="183"/>
      <c r="H205" s="183"/>
    </row>
    <row r="206" spans="2:8" x14ac:dyDescent="0.2">
      <c r="B206" s="151" t="s">
        <v>865</v>
      </c>
      <c r="C206" s="151" t="s">
        <v>168</v>
      </c>
      <c r="D206" s="152" t="s">
        <v>142</v>
      </c>
      <c r="E206" s="152">
        <v>2012</v>
      </c>
      <c r="F206" s="158">
        <v>2014</v>
      </c>
      <c r="G206" s="183"/>
      <c r="H206" s="183"/>
    </row>
    <row r="207" spans="2:8" x14ac:dyDescent="0.2">
      <c r="B207" s="151" t="s">
        <v>866</v>
      </c>
      <c r="C207" s="151" t="s">
        <v>168</v>
      </c>
      <c r="D207" s="152" t="s">
        <v>142</v>
      </c>
      <c r="E207" s="152">
        <v>2013</v>
      </c>
      <c r="F207" s="158">
        <v>2014</v>
      </c>
      <c r="G207" s="183"/>
      <c r="H207" s="183"/>
    </row>
    <row r="208" spans="2:8" x14ac:dyDescent="0.2">
      <c r="B208" s="151" t="s">
        <v>867</v>
      </c>
      <c r="C208" s="151" t="s">
        <v>168</v>
      </c>
      <c r="D208" s="152" t="s">
        <v>53</v>
      </c>
      <c r="E208" s="152">
        <v>2004</v>
      </c>
      <c r="F208" s="158">
        <v>2014</v>
      </c>
      <c r="G208" s="183"/>
      <c r="H208" s="183"/>
    </row>
    <row r="209" spans="2:8" x14ac:dyDescent="0.2">
      <c r="B209" s="151" t="s">
        <v>868</v>
      </c>
      <c r="C209" s="151" t="s">
        <v>168</v>
      </c>
      <c r="D209" s="152" t="s">
        <v>53</v>
      </c>
      <c r="E209" s="152">
        <v>2005</v>
      </c>
      <c r="F209" s="158">
        <v>2014</v>
      </c>
      <c r="G209" s="183"/>
      <c r="H209" s="183"/>
    </row>
    <row r="210" spans="2:8" x14ac:dyDescent="0.2">
      <c r="B210" s="151" t="s">
        <v>869</v>
      </c>
      <c r="C210" s="151" t="s">
        <v>168</v>
      </c>
      <c r="D210" s="152" t="s">
        <v>53</v>
      </c>
      <c r="E210" s="152">
        <v>2006</v>
      </c>
      <c r="F210" s="158">
        <v>2014</v>
      </c>
      <c r="G210" s="183"/>
      <c r="H210" s="183"/>
    </row>
    <row r="211" spans="2:8" x14ac:dyDescent="0.2">
      <c r="B211" s="151" t="s">
        <v>870</v>
      </c>
      <c r="C211" s="151" t="s">
        <v>168</v>
      </c>
      <c r="D211" s="152" t="s">
        <v>53</v>
      </c>
      <c r="E211" s="152">
        <v>2007</v>
      </c>
      <c r="F211" s="158">
        <v>2014</v>
      </c>
      <c r="G211" s="183"/>
      <c r="H211" s="183"/>
    </row>
    <row r="212" spans="2:8" x14ac:dyDescent="0.2">
      <c r="B212" s="151" t="s">
        <v>871</v>
      </c>
      <c r="C212" s="151" t="s">
        <v>168</v>
      </c>
      <c r="D212" s="152" t="s">
        <v>53</v>
      </c>
      <c r="E212" s="152">
        <v>2008</v>
      </c>
      <c r="F212" s="158">
        <v>2014</v>
      </c>
      <c r="G212" s="183"/>
      <c r="H212" s="183"/>
    </row>
    <row r="213" spans="2:8" x14ac:dyDescent="0.2">
      <c r="B213" s="151" t="s">
        <v>872</v>
      </c>
      <c r="C213" s="151" t="s">
        <v>168</v>
      </c>
      <c r="D213" s="152" t="s">
        <v>53</v>
      </c>
      <c r="E213" s="152">
        <v>2009</v>
      </c>
      <c r="F213" s="158">
        <v>2014</v>
      </c>
      <c r="G213" s="183"/>
      <c r="H213" s="183"/>
    </row>
    <row r="214" spans="2:8" x14ac:dyDescent="0.2">
      <c r="B214" s="151" t="s">
        <v>873</v>
      </c>
      <c r="C214" s="151" t="s">
        <v>168</v>
      </c>
      <c r="D214" s="152" t="s">
        <v>53</v>
      </c>
      <c r="E214" s="152">
        <v>2010</v>
      </c>
      <c r="F214" s="158">
        <v>2014</v>
      </c>
      <c r="G214" s="183"/>
      <c r="H214" s="183"/>
    </row>
    <row r="215" spans="2:8" x14ac:dyDescent="0.2">
      <c r="B215" s="151" t="s">
        <v>874</v>
      </c>
      <c r="C215" s="151" t="s">
        <v>168</v>
      </c>
      <c r="D215" s="152" t="s">
        <v>53</v>
      </c>
      <c r="E215" s="152">
        <v>2011</v>
      </c>
      <c r="F215" s="158">
        <v>2014</v>
      </c>
      <c r="G215" s="183"/>
      <c r="H215" s="183"/>
    </row>
    <row r="216" spans="2:8" x14ac:dyDescent="0.2">
      <c r="B216" s="151" t="s">
        <v>875</v>
      </c>
      <c r="C216" s="151" t="s">
        <v>168</v>
      </c>
      <c r="D216" s="152" t="s">
        <v>53</v>
      </c>
      <c r="E216" s="152">
        <v>2012</v>
      </c>
      <c r="F216" s="158">
        <v>2014</v>
      </c>
      <c r="G216" s="183"/>
      <c r="H216" s="183"/>
    </row>
    <row r="217" spans="2:8" x14ac:dyDescent="0.2">
      <c r="B217" s="151" t="s">
        <v>876</v>
      </c>
      <c r="C217" s="151" t="s">
        <v>168</v>
      </c>
      <c r="D217" s="152" t="s">
        <v>53</v>
      </c>
      <c r="E217" s="152">
        <v>2013</v>
      </c>
      <c r="F217" s="158">
        <v>2014</v>
      </c>
      <c r="G217" s="183"/>
      <c r="H217" s="183"/>
    </row>
    <row r="218" spans="2:8" x14ac:dyDescent="0.2">
      <c r="B218" s="151" t="s">
        <v>877</v>
      </c>
      <c r="C218" s="151" t="s">
        <v>168</v>
      </c>
      <c r="D218" s="152" t="s">
        <v>133</v>
      </c>
      <c r="E218" s="152">
        <v>2004</v>
      </c>
      <c r="F218" s="158">
        <v>2014</v>
      </c>
      <c r="G218" s="183"/>
      <c r="H218" s="183"/>
    </row>
    <row r="219" spans="2:8" x14ac:dyDescent="0.2">
      <c r="B219" s="151" t="s">
        <v>878</v>
      </c>
      <c r="C219" s="151" t="s">
        <v>168</v>
      </c>
      <c r="D219" s="152" t="s">
        <v>133</v>
      </c>
      <c r="E219" s="152">
        <v>2005</v>
      </c>
      <c r="F219" s="158">
        <v>2014</v>
      </c>
      <c r="G219" s="183"/>
      <c r="H219" s="183"/>
    </row>
    <row r="220" spans="2:8" x14ac:dyDescent="0.2">
      <c r="B220" s="151" t="s">
        <v>879</v>
      </c>
      <c r="C220" s="151" t="s">
        <v>168</v>
      </c>
      <c r="D220" s="152" t="s">
        <v>133</v>
      </c>
      <c r="E220" s="152">
        <v>2006</v>
      </c>
      <c r="F220" s="158">
        <v>2014</v>
      </c>
      <c r="G220" s="183"/>
      <c r="H220" s="183"/>
    </row>
    <row r="221" spans="2:8" x14ac:dyDescent="0.2">
      <c r="B221" s="151" t="s">
        <v>880</v>
      </c>
      <c r="C221" s="151" t="s">
        <v>168</v>
      </c>
      <c r="D221" s="152" t="s">
        <v>133</v>
      </c>
      <c r="E221" s="152">
        <v>2007</v>
      </c>
      <c r="F221" s="158">
        <v>2014</v>
      </c>
      <c r="G221" s="183"/>
      <c r="H221" s="183"/>
    </row>
    <row r="222" spans="2:8" x14ac:dyDescent="0.2">
      <c r="B222" s="151" t="s">
        <v>881</v>
      </c>
      <c r="C222" s="151" t="s">
        <v>168</v>
      </c>
      <c r="D222" s="152" t="s">
        <v>133</v>
      </c>
      <c r="E222" s="152">
        <v>2008</v>
      </c>
      <c r="F222" s="158">
        <v>2014</v>
      </c>
      <c r="G222" s="183"/>
      <c r="H222" s="183"/>
    </row>
    <row r="223" spans="2:8" x14ac:dyDescent="0.2">
      <c r="B223" s="151" t="s">
        <v>882</v>
      </c>
      <c r="C223" s="151" t="s">
        <v>168</v>
      </c>
      <c r="D223" s="152" t="s">
        <v>133</v>
      </c>
      <c r="E223" s="152">
        <v>2009</v>
      </c>
      <c r="F223" s="158">
        <v>2014</v>
      </c>
      <c r="G223" s="183"/>
      <c r="H223" s="183"/>
    </row>
    <row r="224" spans="2:8" x14ac:dyDescent="0.2">
      <c r="B224" s="151" t="s">
        <v>883</v>
      </c>
      <c r="C224" s="151" t="s">
        <v>168</v>
      </c>
      <c r="D224" s="152" t="s">
        <v>133</v>
      </c>
      <c r="E224" s="152">
        <v>2010</v>
      </c>
      <c r="F224" s="158">
        <v>2014</v>
      </c>
      <c r="G224" s="183"/>
      <c r="H224" s="183"/>
    </row>
    <row r="225" spans="2:8" x14ac:dyDescent="0.2">
      <c r="B225" s="151" t="s">
        <v>884</v>
      </c>
      <c r="C225" s="151" t="s">
        <v>168</v>
      </c>
      <c r="D225" s="152" t="s">
        <v>133</v>
      </c>
      <c r="E225" s="152">
        <v>2011</v>
      </c>
      <c r="F225" s="158">
        <v>2014</v>
      </c>
      <c r="G225" s="183"/>
      <c r="H225" s="183"/>
    </row>
    <row r="226" spans="2:8" x14ac:dyDescent="0.2">
      <c r="B226" s="151" t="s">
        <v>885</v>
      </c>
      <c r="C226" s="151" t="s">
        <v>168</v>
      </c>
      <c r="D226" s="152" t="s">
        <v>133</v>
      </c>
      <c r="E226" s="152">
        <v>2012</v>
      </c>
      <c r="F226" s="158">
        <v>2014</v>
      </c>
      <c r="G226" s="183"/>
      <c r="H226" s="183"/>
    </row>
    <row r="227" spans="2:8" x14ac:dyDescent="0.2">
      <c r="B227" s="151" t="s">
        <v>886</v>
      </c>
      <c r="C227" s="151" t="s">
        <v>168</v>
      </c>
      <c r="D227" s="152" t="s">
        <v>133</v>
      </c>
      <c r="E227" s="152">
        <v>2013</v>
      </c>
      <c r="F227" s="158">
        <v>2014</v>
      </c>
      <c r="G227" s="183"/>
      <c r="H227" s="183"/>
    </row>
    <row r="228" spans="2:8" x14ac:dyDescent="0.2">
      <c r="B228" s="151" t="s">
        <v>887</v>
      </c>
      <c r="C228" s="151" t="s">
        <v>168</v>
      </c>
      <c r="D228" s="152" t="s">
        <v>60</v>
      </c>
      <c r="E228" s="152">
        <v>2004</v>
      </c>
      <c r="F228" s="158">
        <v>2014</v>
      </c>
      <c r="G228" s="183"/>
      <c r="H228" s="183"/>
    </row>
    <row r="229" spans="2:8" x14ac:dyDescent="0.2">
      <c r="B229" s="151" t="s">
        <v>888</v>
      </c>
      <c r="C229" s="151" t="s">
        <v>168</v>
      </c>
      <c r="D229" s="152" t="s">
        <v>60</v>
      </c>
      <c r="E229" s="152">
        <v>2005</v>
      </c>
      <c r="F229" s="158">
        <v>2014</v>
      </c>
      <c r="G229" s="183"/>
      <c r="H229" s="183"/>
    </row>
    <row r="230" spans="2:8" x14ac:dyDescent="0.2">
      <c r="B230" s="151" t="s">
        <v>889</v>
      </c>
      <c r="C230" s="151" t="s">
        <v>168</v>
      </c>
      <c r="D230" s="152" t="s">
        <v>60</v>
      </c>
      <c r="E230" s="152">
        <v>2006</v>
      </c>
      <c r="F230" s="158">
        <v>2014</v>
      </c>
      <c r="G230" s="183"/>
      <c r="H230" s="183"/>
    </row>
    <row r="231" spans="2:8" x14ac:dyDescent="0.2">
      <c r="B231" s="151" t="s">
        <v>890</v>
      </c>
      <c r="C231" s="151" t="s">
        <v>168</v>
      </c>
      <c r="D231" s="152" t="s">
        <v>60</v>
      </c>
      <c r="E231" s="152">
        <v>2007</v>
      </c>
      <c r="F231" s="158">
        <v>2014</v>
      </c>
      <c r="G231" s="183"/>
      <c r="H231" s="183"/>
    </row>
    <row r="232" spans="2:8" x14ac:dyDescent="0.2">
      <c r="B232" s="151" t="s">
        <v>891</v>
      </c>
      <c r="C232" s="151" t="s">
        <v>168</v>
      </c>
      <c r="D232" s="152" t="s">
        <v>60</v>
      </c>
      <c r="E232" s="152">
        <v>2008</v>
      </c>
      <c r="F232" s="158">
        <v>2014</v>
      </c>
      <c r="G232" s="183"/>
      <c r="H232" s="183"/>
    </row>
    <row r="233" spans="2:8" x14ac:dyDescent="0.2">
      <c r="B233" s="151" t="s">
        <v>892</v>
      </c>
      <c r="C233" s="151" t="s">
        <v>168</v>
      </c>
      <c r="D233" s="152" t="s">
        <v>60</v>
      </c>
      <c r="E233" s="152">
        <v>2009</v>
      </c>
      <c r="F233" s="158">
        <v>2014</v>
      </c>
      <c r="G233" s="183"/>
      <c r="H233" s="183"/>
    </row>
    <row r="234" spans="2:8" x14ac:dyDescent="0.2">
      <c r="B234" s="151" t="s">
        <v>893</v>
      </c>
      <c r="C234" s="151" t="s">
        <v>168</v>
      </c>
      <c r="D234" s="152" t="s">
        <v>60</v>
      </c>
      <c r="E234" s="152">
        <v>2010</v>
      </c>
      <c r="F234" s="158">
        <v>2014</v>
      </c>
      <c r="G234" s="183"/>
      <c r="H234" s="183"/>
    </row>
    <row r="235" spans="2:8" x14ac:dyDescent="0.2">
      <c r="B235" s="151" t="s">
        <v>894</v>
      </c>
      <c r="C235" s="151" t="s">
        <v>168</v>
      </c>
      <c r="D235" s="152" t="s">
        <v>60</v>
      </c>
      <c r="E235" s="152">
        <v>2011</v>
      </c>
      <c r="F235" s="158">
        <v>2014</v>
      </c>
      <c r="G235" s="183"/>
      <c r="H235" s="183"/>
    </row>
    <row r="236" spans="2:8" x14ac:dyDescent="0.2">
      <c r="B236" s="151" t="s">
        <v>895</v>
      </c>
      <c r="C236" s="151" t="s">
        <v>168</v>
      </c>
      <c r="D236" s="152" t="s">
        <v>60</v>
      </c>
      <c r="E236" s="152">
        <v>2012</v>
      </c>
      <c r="F236" s="158">
        <v>2014</v>
      </c>
      <c r="G236" s="183"/>
      <c r="H236" s="183"/>
    </row>
    <row r="237" spans="2:8" x14ac:dyDescent="0.2">
      <c r="B237" s="151" t="s">
        <v>896</v>
      </c>
      <c r="C237" s="151" t="s">
        <v>168</v>
      </c>
      <c r="D237" s="152" t="s">
        <v>60</v>
      </c>
      <c r="E237" s="152">
        <v>2013</v>
      </c>
      <c r="F237" s="158">
        <v>2014</v>
      </c>
      <c r="G237" s="183"/>
      <c r="H237" s="183"/>
    </row>
    <row r="238" spans="2:8" x14ac:dyDescent="0.2">
      <c r="B238" s="151" t="s">
        <v>273</v>
      </c>
      <c r="C238" s="151" t="s">
        <v>169</v>
      </c>
      <c r="D238" s="152" t="s">
        <v>56</v>
      </c>
      <c r="E238" s="152">
        <v>2004</v>
      </c>
      <c r="F238" s="158">
        <v>2005</v>
      </c>
      <c r="G238" s="183"/>
      <c r="H238" s="183">
        <v>0.46700000000000003</v>
      </c>
    </row>
    <row r="239" spans="2:8" x14ac:dyDescent="0.2">
      <c r="B239" s="151" t="s">
        <v>274</v>
      </c>
      <c r="C239" s="151" t="s">
        <v>169</v>
      </c>
      <c r="D239" s="152" t="s">
        <v>56</v>
      </c>
      <c r="E239" s="152">
        <v>2004</v>
      </c>
      <c r="F239" s="158">
        <v>2006</v>
      </c>
      <c r="G239" s="183"/>
      <c r="H239" s="183">
        <v>0.46700000000000003</v>
      </c>
    </row>
    <row r="240" spans="2:8" x14ac:dyDescent="0.2">
      <c r="B240" s="151" t="s">
        <v>275</v>
      </c>
      <c r="C240" s="151" t="s">
        <v>169</v>
      </c>
      <c r="D240" s="152" t="s">
        <v>56</v>
      </c>
      <c r="E240" s="152">
        <v>2004</v>
      </c>
      <c r="F240" s="158">
        <v>2007</v>
      </c>
      <c r="G240" s="183"/>
      <c r="H240" s="183"/>
    </row>
    <row r="241" spans="2:8" x14ac:dyDescent="0.2">
      <c r="B241" s="151" t="s">
        <v>276</v>
      </c>
      <c r="C241" s="151" t="s">
        <v>169</v>
      </c>
      <c r="D241" s="152" t="s">
        <v>56</v>
      </c>
      <c r="E241" s="152">
        <v>2004</v>
      </c>
      <c r="F241" s="158">
        <v>2008</v>
      </c>
      <c r="G241" s="183">
        <v>0.2</v>
      </c>
      <c r="H241" s="183">
        <v>0.13300000000000001</v>
      </c>
    </row>
    <row r="242" spans="2:8" x14ac:dyDescent="0.2">
      <c r="B242" s="151" t="s">
        <v>277</v>
      </c>
      <c r="C242" s="151" t="s">
        <v>169</v>
      </c>
      <c r="D242" s="152" t="s">
        <v>56</v>
      </c>
      <c r="E242" s="152">
        <v>2004</v>
      </c>
      <c r="F242" s="158">
        <v>2009</v>
      </c>
      <c r="G242" s="183">
        <v>0.2</v>
      </c>
      <c r="H242" s="183">
        <v>6.7000000000000004E-2</v>
      </c>
    </row>
    <row r="243" spans="2:8" x14ac:dyDescent="0.2">
      <c r="B243" s="151" t="s">
        <v>278</v>
      </c>
      <c r="C243" s="151" t="s">
        <v>169</v>
      </c>
      <c r="D243" s="152" t="s">
        <v>56</v>
      </c>
      <c r="E243" s="152">
        <v>2004</v>
      </c>
      <c r="F243" s="158">
        <v>2010</v>
      </c>
      <c r="G243" s="183">
        <v>0.2</v>
      </c>
      <c r="H243" s="183">
        <v>6.7000000000000004E-2</v>
      </c>
    </row>
    <row r="244" spans="2:8" x14ac:dyDescent="0.2">
      <c r="B244" s="151" t="s">
        <v>279</v>
      </c>
      <c r="C244" s="151" t="s">
        <v>169</v>
      </c>
      <c r="D244" s="152" t="s">
        <v>56</v>
      </c>
      <c r="E244" s="152">
        <v>2004</v>
      </c>
      <c r="F244" s="158">
        <v>2011</v>
      </c>
      <c r="G244" s="183">
        <v>0.2</v>
      </c>
      <c r="H244" s="183">
        <v>0</v>
      </c>
    </row>
    <row r="245" spans="2:8" x14ac:dyDescent="0.2">
      <c r="B245" s="151" t="s">
        <v>280</v>
      </c>
      <c r="C245" s="151" t="s">
        <v>169</v>
      </c>
      <c r="D245" s="152" t="s">
        <v>56</v>
      </c>
      <c r="E245" s="152">
        <v>2004</v>
      </c>
      <c r="F245" s="158">
        <v>2012</v>
      </c>
      <c r="G245" s="183">
        <v>0.2</v>
      </c>
      <c r="H245" s="183">
        <v>0</v>
      </c>
    </row>
    <row r="246" spans="2:8" x14ac:dyDescent="0.2">
      <c r="B246" s="151" t="s">
        <v>173</v>
      </c>
      <c r="C246" s="151" t="s">
        <v>169</v>
      </c>
      <c r="D246" s="152" t="s">
        <v>56</v>
      </c>
      <c r="E246" s="152">
        <v>2004</v>
      </c>
      <c r="F246" s="158">
        <v>2013</v>
      </c>
      <c r="G246" s="183">
        <v>0.2</v>
      </c>
      <c r="H246" s="183">
        <v>0</v>
      </c>
    </row>
    <row r="247" spans="2:8" x14ac:dyDescent="0.2">
      <c r="B247" s="151" t="s">
        <v>281</v>
      </c>
      <c r="C247" s="151" t="s">
        <v>169</v>
      </c>
      <c r="D247" s="152" t="s">
        <v>56</v>
      </c>
      <c r="E247" s="152">
        <v>2005</v>
      </c>
      <c r="F247" s="158">
        <v>2006</v>
      </c>
      <c r="G247" s="183"/>
      <c r="H247" s="183">
        <v>0.76500000000000001</v>
      </c>
    </row>
    <row r="248" spans="2:8" x14ac:dyDescent="0.2">
      <c r="B248" s="151" t="s">
        <v>282</v>
      </c>
      <c r="C248" s="151" t="s">
        <v>169</v>
      </c>
      <c r="D248" s="152" t="s">
        <v>56</v>
      </c>
      <c r="E248" s="152">
        <v>2005</v>
      </c>
      <c r="F248" s="158">
        <v>2007</v>
      </c>
      <c r="G248" s="183"/>
      <c r="H248" s="183">
        <v>0.70599999999999996</v>
      </c>
    </row>
    <row r="249" spans="2:8" x14ac:dyDescent="0.2">
      <c r="B249" s="151" t="s">
        <v>283</v>
      </c>
      <c r="C249" s="151" t="s">
        <v>169</v>
      </c>
      <c r="D249" s="152" t="s">
        <v>56</v>
      </c>
      <c r="E249" s="152">
        <v>2005</v>
      </c>
      <c r="F249" s="158">
        <v>2008</v>
      </c>
      <c r="G249" s="183"/>
      <c r="H249" s="183"/>
    </row>
    <row r="250" spans="2:8" x14ac:dyDescent="0.2">
      <c r="B250" s="151" t="s">
        <v>284</v>
      </c>
      <c r="C250" s="151" t="s">
        <v>169</v>
      </c>
      <c r="D250" s="152" t="s">
        <v>56</v>
      </c>
      <c r="E250" s="152">
        <v>2005</v>
      </c>
      <c r="F250" s="158">
        <v>2009</v>
      </c>
      <c r="G250" s="183">
        <v>0.17599999999999999</v>
      </c>
      <c r="H250" s="183">
        <v>0.41199999999999998</v>
      </c>
    </row>
    <row r="251" spans="2:8" x14ac:dyDescent="0.2">
      <c r="B251" s="151" t="s">
        <v>285</v>
      </c>
      <c r="C251" s="151" t="s">
        <v>169</v>
      </c>
      <c r="D251" s="152" t="s">
        <v>56</v>
      </c>
      <c r="E251" s="152">
        <v>2005</v>
      </c>
      <c r="F251" s="158">
        <v>2010</v>
      </c>
      <c r="G251" s="183">
        <v>0.35299999999999998</v>
      </c>
      <c r="H251" s="183">
        <v>0.17599999999999999</v>
      </c>
    </row>
    <row r="252" spans="2:8" x14ac:dyDescent="0.2">
      <c r="B252" s="151" t="s">
        <v>286</v>
      </c>
      <c r="C252" s="151" t="s">
        <v>169</v>
      </c>
      <c r="D252" s="152" t="s">
        <v>56</v>
      </c>
      <c r="E252" s="152">
        <v>2005</v>
      </c>
      <c r="F252" s="158">
        <v>2011</v>
      </c>
      <c r="G252" s="183">
        <v>0.47099999999999997</v>
      </c>
      <c r="H252" s="183">
        <v>0.11799999999999999</v>
      </c>
    </row>
    <row r="253" spans="2:8" x14ac:dyDescent="0.2">
      <c r="B253" s="151" t="s">
        <v>287</v>
      </c>
      <c r="C253" s="151" t="s">
        <v>169</v>
      </c>
      <c r="D253" s="152" t="s">
        <v>56</v>
      </c>
      <c r="E253" s="152">
        <v>2005</v>
      </c>
      <c r="F253" s="158">
        <v>2012</v>
      </c>
      <c r="G253" s="183">
        <v>0.52900000000000003</v>
      </c>
      <c r="H253" s="183">
        <v>5.8999999999999997E-2</v>
      </c>
    </row>
    <row r="254" spans="2:8" x14ac:dyDescent="0.2">
      <c r="B254" s="151" t="s">
        <v>174</v>
      </c>
      <c r="C254" s="151" t="s">
        <v>169</v>
      </c>
      <c r="D254" s="152" t="s">
        <v>56</v>
      </c>
      <c r="E254" s="152">
        <v>2005</v>
      </c>
      <c r="F254" s="158">
        <v>2013</v>
      </c>
      <c r="G254" s="183">
        <v>0.64700000000000002</v>
      </c>
      <c r="H254" s="183">
        <v>0</v>
      </c>
    </row>
    <row r="255" spans="2:8" x14ac:dyDescent="0.2">
      <c r="B255" s="151" t="s">
        <v>288</v>
      </c>
      <c r="C255" s="151" t="s">
        <v>169</v>
      </c>
      <c r="D255" s="152" t="s">
        <v>56</v>
      </c>
      <c r="E255" s="152">
        <v>2006</v>
      </c>
      <c r="F255" s="158">
        <v>2007</v>
      </c>
      <c r="G255" s="183"/>
      <c r="H255" s="183">
        <v>0.4</v>
      </c>
    </row>
    <row r="256" spans="2:8" x14ac:dyDescent="0.2">
      <c r="B256" s="151" t="s">
        <v>289</v>
      </c>
      <c r="C256" s="151" t="s">
        <v>169</v>
      </c>
      <c r="D256" s="152" t="s">
        <v>56</v>
      </c>
      <c r="E256" s="152">
        <v>2006</v>
      </c>
      <c r="F256" s="158">
        <v>2008</v>
      </c>
      <c r="G256" s="183"/>
      <c r="H256" s="183">
        <v>0.33300000000000002</v>
      </c>
    </row>
    <row r="257" spans="2:8" x14ac:dyDescent="0.2">
      <c r="B257" s="151" t="s">
        <v>290</v>
      </c>
      <c r="C257" s="151" t="s">
        <v>169</v>
      </c>
      <c r="D257" s="152" t="s">
        <v>56</v>
      </c>
      <c r="E257" s="152">
        <v>2006</v>
      </c>
      <c r="F257" s="158">
        <v>2009</v>
      </c>
      <c r="G257" s="183"/>
      <c r="H257" s="183"/>
    </row>
    <row r="258" spans="2:8" x14ac:dyDescent="0.2">
      <c r="B258" s="151" t="s">
        <v>291</v>
      </c>
      <c r="C258" s="151" t="s">
        <v>169</v>
      </c>
      <c r="D258" s="152" t="s">
        <v>56</v>
      </c>
      <c r="E258" s="152">
        <v>2006</v>
      </c>
      <c r="F258" s="158">
        <v>2010</v>
      </c>
      <c r="G258" s="183">
        <v>6.7000000000000004E-2</v>
      </c>
      <c r="H258" s="183">
        <v>0.2</v>
      </c>
    </row>
    <row r="259" spans="2:8" x14ac:dyDescent="0.2">
      <c r="B259" s="151" t="s">
        <v>292</v>
      </c>
      <c r="C259" s="151" t="s">
        <v>169</v>
      </c>
      <c r="D259" s="152" t="s">
        <v>56</v>
      </c>
      <c r="E259" s="152">
        <v>2006</v>
      </c>
      <c r="F259" s="158">
        <v>2011</v>
      </c>
      <c r="G259" s="183">
        <v>0.26700000000000002</v>
      </c>
      <c r="H259" s="183">
        <v>0</v>
      </c>
    </row>
    <row r="260" spans="2:8" x14ac:dyDescent="0.2">
      <c r="B260" s="151" t="s">
        <v>293</v>
      </c>
      <c r="C260" s="151" t="s">
        <v>169</v>
      </c>
      <c r="D260" s="152" t="s">
        <v>56</v>
      </c>
      <c r="E260" s="152">
        <v>2006</v>
      </c>
      <c r="F260" s="158">
        <v>2012</v>
      </c>
      <c r="G260" s="183">
        <v>0.26700000000000002</v>
      </c>
      <c r="H260" s="183">
        <v>0</v>
      </c>
    </row>
    <row r="261" spans="2:8" x14ac:dyDescent="0.2">
      <c r="B261" s="151" t="s">
        <v>175</v>
      </c>
      <c r="C261" s="151" t="s">
        <v>169</v>
      </c>
      <c r="D261" s="152" t="s">
        <v>56</v>
      </c>
      <c r="E261" s="152">
        <v>2006</v>
      </c>
      <c r="F261" s="158">
        <v>2013</v>
      </c>
      <c r="G261" s="183">
        <v>0.26700000000000002</v>
      </c>
      <c r="H261" s="183">
        <v>0</v>
      </c>
    </row>
    <row r="262" spans="2:8" x14ac:dyDescent="0.2">
      <c r="B262" s="151" t="s">
        <v>294</v>
      </c>
      <c r="C262" s="151" t="s">
        <v>169</v>
      </c>
      <c r="D262" s="152" t="s">
        <v>56</v>
      </c>
      <c r="E262" s="152">
        <v>2007</v>
      </c>
      <c r="F262" s="158">
        <v>2008</v>
      </c>
      <c r="G262" s="183"/>
      <c r="H262" s="183">
        <v>0.81299999999999994</v>
      </c>
    </row>
    <row r="263" spans="2:8" x14ac:dyDescent="0.2">
      <c r="B263" s="151" t="s">
        <v>295</v>
      </c>
      <c r="C263" s="151" t="s">
        <v>169</v>
      </c>
      <c r="D263" s="152" t="s">
        <v>56</v>
      </c>
      <c r="E263" s="152">
        <v>2007</v>
      </c>
      <c r="F263" s="158">
        <v>2009</v>
      </c>
      <c r="G263" s="183"/>
      <c r="H263" s="183">
        <v>0.5</v>
      </c>
    </row>
    <row r="264" spans="2:8" x14ac:dyDescent="0.2">
      <c r="B264" s="151" t="s">
        <v>296</v>
      </c>
      <c r="C264" s="151" t="s">
        <v>169</v>
      </c>
      <c r="D264" s="152" t="s">
        <v>56</v>
      </c>
      <c r="E264" s="152">
        <v>2007</v>
      </c>
      <c r="F264" s="158">
        <v>2010</v>
      </c>
      <c r="G264" s="183"/>
      <c r="H264" s="183"/>
    </row>
    <row r="265" spans="2:8" x14ac:dyDescent="0.2">
      <c r="B265" s="151" t="s">
        <v>297</v>
      </c>
      <c r="C265" s="151" t="s">
        <v>169</v>
      </c>
      <c r="D265" s="152" t="s">
        <v>56</v>
      </c>
      <c r="E265" s="152">
        <v>2007</v>
      </c>
      <c r="F265" s="158">
        <v>2011</v>
      </c>
      <c r="G265" s="183">
        <v>0.125</v>
      </c>
      <c r="H265" s="183">
        <v>0.25</v>
      </c>
    </row>
    <row r="266" spans="2:8" x14ac:dyDescent="0.2">
      <c r="B266" s="151" t="s">
        <v>298</v>
      </c>
      <c r="C266" s="151" t="s">
        <v>169</v>
      </c>
      <c r="D266" s="152" t="s">
        <v>56</v>
      </c>
      <c r="E266" s="152">
        <v>2007</v>
      </c>
      <c r="F266" s="158">
        <v>2012</v>
      </c>
      <c r="G266" s="183">
        <v>0.313</v>
      </c>
      <c r="H266" s="183">
        <v>6.3E-2</v>
      </c>
    </row>
    <row r="267" spans="2:8" x14ac:dyDescent="0.2">
      <c r="B267" s="151" t="s">
        <v>176</v>
      </c>
      <c r="C267" s="151" t="s">
        <v>169</v>
      </c>
      <c r="D267" s="152" t="s">
        <v>56</v>
      </c>
      <c r="E267" s="152">
        <v>2007</v>
      </c>
      <c r="F267" s="158">
        <v>2013</v>
      </c>
      <c r="G267" s="183">
        <v>0.375</v>
      </c>
      <c r="H267" s="183">
        <v>0</v>
      </c>
    </row>
    <row r="268" spans="2:8" x14ac:dyDescent="0.2">
      <c r="B268" s="151" t="s">
        <v>299</v>
      </c>
      <c r="C268" s="151" t="s">
        <v>169</v>
      </c>
      <c r="D268" s="152" t="s">
        <v>56</v>
      </c>
      <c r="E268" s="152">
        <v>2008</v>
      </c>
      <c r="F268" s="158">
        <v>2009</v>
      </c>
      <c r="G268" s="183"/>
      <c r="H268" s="183">
        <v>0.7</v>
      </c>
    </row>
    <row r="269" spans="2:8" x14ac:dyDescent="0.2">
      <c r="B269" s="151" t="s">
        <v>300</v>
      </c>
      <c r="C269" s="151" t="s">
        <v>169</v>
      </c>
      <c r="D269" s="152" t="s">
        <v>56</v>
      </c>
      <c r="E269" s="152">
        <v>2008</v>
      </c>
      <c r="F269" s="158">
        <v>2010</v>
      </c>
      <c r="G269" s="183"/>
      <c r="H269" s="183">
        <v>0.6</v>
      </c>
    </row>
    <row r="270" spans="2:8" x14ac:dyDescent="0.2">
      <c r="B270" s="151" t="s">
        <v>301</v>
      </c>
      <c r="C270" s="151" t="s">
        <v>169</v>
      </c>
      <c r="D270" s="152" t="s">
        <v>56</v>
      </c>
      <c r="E270" s="152">
        <v>2008</v>
      </c>
      <c r="F270" s="158">
        <v>2011</v>
      </c>
      <c r="G270" s="183"/>
      <c r="H270" s="183"/>
    </row>
    <row r="271" spans="2:8" x14ac:dyDescent="0.2">
      <c r="B271" s="151" t="s">
        <v>302</v>
      </c>
      <c r="C271" s="151" t="s">
        <v>169</v>
      </c>
      <c r="D271" s="152" t="s">
        <v>56</v>
      </c>
      <c r="E271" s="152">
        <v>2008</v>
      </c>
      <c r="F271" s="158">
        <v>2012</v>
      </c>
      <c r="G271" s="183">
        <v>0</v>
      </c>
      <c r="H271" s="183">
        <v>0.3</v>
      </c>
    </row>
    <row r="272" spans="2:8" x14ac:dyDescent="0.2">
      <c r="B272" s="151" t="s">
        <v>177</v>
      </c>
      <c r="C272" s="151" t="s">
        <v>169</v>
      </c>
      <c r="D272" s="152" t="s">
        <v>56</v>
      </c>
      <c r="E272" s="152">
        <v>2008</v>
      </c>
      <c r="F272" s="158">
        <v>2013</v>
      </c>
      <c r="G272" s="183">
        <v>0.1</v>
      </c>
      <c r="H272" s="183">
        <v>0.2</v>
      </c>
    </row>
    <row r="273" spans="2:8" x14ac:dyDescent="0.2">
      <c r="B273" s="151" t="s">
        <v>303</v>
      </c>
      <c r="C273" s="151" t="s">
        <v>169</v>
      </c>
      <c r="D273" s="152" t="s">
        <v>56</v>
      </c>
      <c r="E273" s="152">
        <v>2009</v>
      </c>
      <c r="F273" s="158">
        <v>2010</v>
      </c>
      <c r="G273" s="183"/>
      <c r="H273" s="183">
        <v>0.57099999999999995</v>
      </c>
    </row>
    <row r="274" spans="2:8" x14ac:dyDescent="0.2">
      <c r="B274" s="151" t="s">
        <v>304</v>
      </c>
      <c r="C274" s="151" t="s">
        <v>169</v>
      </c>
      <c r="D274" s="152" t="s">
        <v>56</v>
      </c>
      <c r="E274" s="152">
        <v>2009</v>
      </c>
      <c r="F274" s="158">
        <v>2011</v>
      </c>
      <c r="G274" s="183"/>
      <c r="H274" s="183">
        <v>0.14299999999999999</v>
      </c>
    </row>
    <row r="275" spans="2:8" x14ac:dyDescent="0.2">
      <c r="B275" s="151" t="s">
        <v>305</v>
      </c>
      <c r="C275" s="151" t="s">
        <v>169</v>
      </c>
      <c r="D275" s="152" t="s">
        <v>56</v>
      </c>
      <c r="E275" s="152">
        <v>2009</v>
      </c>
      <c r="F275" s="158">
        <v>2012</v>
      </c>
      <c r="G275" s="183"/>
      <c r="H275" s="183"/>
    </row>
    <row r="276" spans="2:8" x14ac:dyDescent="0.2">
      <c r="B276" s="151" t="s">
        <v>178</v>
      </c>
      <c r="C276" s="151" t="s">
        <v>169</v>
      </c>
      <c r="D276" s="152" t="s">
        <v>56</v>
      </c>
      <c r="E276" s="152">
        <v>2009</v>
      </c>
      <c r="F276" s="158">
        <v>2013</v>
      </c>
      <c r="G276" s="183">
        <v>0.14299999999999999</v>
      </c>
      <c r="H276" s="183">
        <v>0</v>
      </c>
    </row>
    <row r="277" spans="2:8" x14ac:dyDescent="0.2">
      <c r="B277" s="151" t="s">
        <v>306</v>
      </c>
      <c r="C277" s="151" t="s">
        <v>169</v>
      </c>
      <c r="D277" s="152" t="s">
        <v>56</v>
      </c>
      <c r="E277" s="152">
        <v>2010</v>
      </c>
      <c r="F277" s="158">
        <v>2011</v>
      </c>
      <c r="G277" s="183"/>
      <c r="H277" s="183">
        <v>0.72699999999999998</v>
      </c>
    </row>
    <row r="278" spans="2:8" x14ac:dyDescent="0.2">
      <c r="B278" s="151" t="s">
        <v>307</v>
      </c>
      <c r="C278" s="151" t="s">
        <v>169</v>
      </c>
      <c r="D278" s="152" t="s">
        <v>56</v>
      </c>
      <c r="E278" s="152">
        <v>2010</v>
      </c>
      <c r="F278" s="158">
        <v>2012</v>
      </c>
      <c r="G278" s="183"/>
      <c r="H278" s="183">
        <v>0.54500000000000004</v>
      </c>
    </row>
    <row r="279" spans="2:8" x14ac:dyDescent="0.2">
      <c r="B279" s="151" t="s">
        <v>179</v>
      </c>
      <c r="C279" s="151" t="s">
        <v>169</v>
      </c>
      <c r="D279" s="152" t="s">
        <v>56</v>
      </c>
      <c r="E279" s="152">
        <v>2010</v>
      </c>
      <c r="F279" s="158">
        <v>2013</v>
      </c>
      <c r="G279" s="183"/>
      <c r="H279" s="183"/>
    </row>
    <row r="280" spans="2:8" x14ac:dyDescent="0.2">
      <c r="B280" s="151" t="s">
        <v>308</v>
      </c>
      <c r="C280" s="151" t="s">
        <v>169</v>
      </c>
      <c r="D280" s="152" t="s">
        <v>56</v>
      </c>
      <c r="E280" s="152">
        <v>2011</v>
      </c>
      <c r="F280" s="158">
        <v>2012</v>
      </c>
      <c r="G280" s="183"/>
      <c r="H280" s="183">
        <v>0.57099999999999995</v>
      </c>
    </row>
    <row r="281" spans="2:8" x14ac:dyDescent="0.2">
      <c r="B281" s="151" t="s">
        <v>180</v>
      </c>
      <c r="C281" s="151" t="s">
        <v>169</v>
      </c>
      <c r="D281" s="152" t="s">
        <v>56</v>
      </c>
      <c r="E281" s="152">
        <v>2011</v>
      </c>
      <c r="F281" s="158">
        <v>2013</v>
      </c>
      <c r="G281" s="183"/>
      <c r="H281" s="183">
        <v>0.42899999999999999</v>
      </c>
    </row>
    <row r="282" spans="2:8" x14ac:dyDescent="0.2">
      <c r="B282" s="151" t="s">
        <v>181</v>
      </c>
      <c r="C282" s="151" t="s">
        <v>169</v>
      </c>
      <c r="D282" s="152" t="s">
        <v>56</v>
      </c>
      <c r="E282" s="152">
        <v>2012</v>
      </c>
      <c r="F282" s="158">
        <v>2013</v>
      </c>
      <c r="G282" s="183"/>
      <c r="H282" s="183">
        <v>0.56299999999999994</v>
      </c>
    </row>
    <row r="283" spans="2:8" x14ac:dyDescent="0.2">
      <c r="B283" s="151" t="s">
        <v>309</v>
      </c>
      <c r="C283" s="151" t="s">
        <v>169</v>
      </c>
      <c r="D283" s="152" t="s">
        <v>59</v>
      </c>
      <c r="E283" s="152">
        <v>2004</v>
      </c>
      <c r="F283" s="158">
        <v>2005</v>
      </c>
      <c r="G283" s="183"/>
      <c r="H283" s="183">
        <v>0.71399999999999997</v>
      </c>
    </row>
    <row r="284" spans="2:8" x14ac:dyDescent="0.2">
      <c r="B284" s="151" t="s">
        <v>310</v>
      </c>
      <c r="C284" s="151" t="s">
        <v>169</v>
      </c>
      <c r="D284" s="152" t="s">
        <v>59</v>
      </c>
      <c r="E284" s="152">
        <v>2004</v>
      </c>
      <c r="F284" s="158">
        <v>2006</v>
      </c>
      <c r="G284" s="183"/>
      <c r="H284" s="183">
        <v>0.71399999999999997</v>
      </c>
    </row>
    <row r="285" spans="2:8" x14ac:dyDescent="0.2">
      <c r="B285" s="151" t="s">
        <v>311</v>
      </c>
      <c r="C285" s="151" t="s">
        <v>169</v>
      </c>
      <c r="D285" s="152" t="s">
        <v>59</v>
      </c>
      <c r="E285" s="152">
        <v>2004</v>
      </c>
      <c r="F285" s="158">
        <v>2007</v>
      </c>
      <c r="G285" s="183"/>
      <c r="H285" s="183"/>
    </row>
    <row r="286" spans="2:8" x14ac:dyDescent="0.2">
      <c r="B286" s="151" t="s">
        <v>312</v>
      </c>
      <c r="C286" s="151" t="s">
        <v>169</v>
      </c>
      <c r="D286" s="152" t="s">
        <v>59</v>
      </c>
      <c r="E286" s="152">
        <v>2004</v>
      </c>
      <c r="F286" s="158">
        <v>2008</v>
      </c>
      <c r="G286" s="183">
        <v>0</v>
      </c>
      <c r="H286" s="183">
        <v>0.42899999999999999</v>
      </c>
    </row>
    <row r="287" spans="2:8" x14ac:dyDescent="0.2">
      <c r="B287" s="151" t="s">
        <v>313</v>
      </c>
      <c r="C287" s="151" t="s">
        <v>169</v>
      </c>
      <c r="D287" s="152" t="s">
        <v>59</v>
      </c>
      <c r="E287" s="152">
        <v>2004</v>
      </c>
      <c r="F287" s="158">
        <v>2009</v>
      </c>
      <c r="G287" s="183">
        <v>0</v>
      </c>
      <c r="H287" s="183">
        <v>0.42899999999999999</v>
      </c>
    </row>
    <row r="288" spans="2:8" x14ac:dyDescent="0.2">
      <c r="B288" s="151" t="s">
        <v>314</v>
      </c>
      <c r="C288" s="151" t="s">
        <v>169</v>
      </c>
      <c r="D288" s="152" t="s">
        <v>59</v>
      </c>
      <c r="E288" s="152">
        <v>2004</v>
      </c>
      <c r="F288" s="158">
        <v>2010</v>
      </c>
      <c r="G288" s="183">
        <v>0.14299999999999999</v>
      </c>
      <c r="H288" s="183">
        <v>0.28599999999999998</v>
      </c>
    </row>
    <row r="289" spans="2:8" x14ac:dyDescent="0.2">
      <c r="B289" s="151" t="s">
        <v>315</v>
      </c>
      <c r="C289" s="151" t="s">
        <v>169</v>
      </c>
      <c r="D289" s="152" t="s">
        <v>59</v>
      </c>
      <c r="E289" s="152">
        <v>2004</v>
      </c>
      <c r="F289" s="158">
        <v>2011</v>
      </c>
      <c r="G289" s="183">
        <v>0.28599999999999998</v>
      </c>
      <c r="H289" s="183">
        <v>0</v>
      </c>
    </row>
    <row r="290" spans="2:8" x14ac:dyDescent="0.2">
      <c r="B290" s="151" t="s">
        <v>316</v>
      </c>
      <c r="C290" s="151" t="s">
        <v>169</v>
      </c>
      <c r="D290" s="152" t="s">
        <v>59</v>
      </c>
      <c r="E290" s="152">
        <v>2004</v>
      </c>
      <c r="F290" s="158">
        <v>2012</v>
      </c>
      <c r="G290" s="183">
        <v>0.28599999999999998</v>
      </c>
      <c r="H290" s="183">
        <v>0</v>
      </c>
    </row>
    <row r="291" spans="2:8" x14ac:dyDescent="0.2">
      <c r="B291" s="151" t="s">
        <v>182</v>
      </c>
      <c r="C291" s="151" t="s">
        <v>169</v>
      </c>
      <c r="D291" s="152" t="s">
        <v>59</v>
      </c>
      <c r="E291" s="152">
        <v>2004</v>
      </c>
      <c r="F291" s="158">
        <v>2013</v>
      </c>
      <c r="G291" s="183">
        <v>0.28599999999999998</v>
      </c>
      <c r="H291" s="183">
        <v>0</v>
      </c>
    </row>
    <row r="292" spans="2:8" x14ac:dyDescent="0.2">
      <c r="B292" s="151" t="s">
        <v>317</v>
      </c>
      <c r="C292" s="151" t="s">
        <v>169</v>
      </c>
      <c r="D292" s="152" t="s">
        <v>59</v>
      </c>
      <c r="E292" s="152">
        <v>2005</v>
      </c>
      <c r="F292" s="158">
        <v>2006</v>
      </c>
      <c r="G292" s="183"/>
      <c r="H292" s="183">
        <v>0.8</v>
      </c>
    </row>
    <row r="293" spans="2:8" x14ac:dyDescent="0.2">
      <c r="B293" s="151" t="s">
        <v>318</v>
      </c>
      <c r="C293" s="151" t="s">
        <v>169</v>
      </c>
      <c r="D293" s="152" t="s">
        <v>59</v>
      </c>
      <c r="E293" s="152">
        <v>2005</v>
      </c>
      <c r="F293" s="158">
        <v>2007</v>
      </c>
      <c r="G293" s="183"/>
      <c r="H293" s="183">
        <v>0.5</v>
      </c>
    </row>
    <row r="294" spans="2:8" x14ac:dyDescent="0.2">
      <c r="B294" s="151" t="s">
        <v>319</v>
      </c>
      <c r="C294" s="151" t="s">
        <v>169</v>
      </c>
      <c r="D294" s="152" t="s">
        <v>59</v>
      </c>
      <c r="E294" s="152">
        <v>2005</v>
      </c>
      <c r="F294" s="158">
        <v>2008</v>
      </c>
      <c r="G294" s="183"/>
      <c r="H294" s="183"/>
    </row>
    <row r="295" spans="2:8" x14ac:dyDescent="0.2">
      <c r="B295" s="151" t="s">
        <v>320</v>
      </c>
      <c r="C295" s="151" t="s">
        <v>169</v>
      </c>
      <c r="D295" s="152" t="s">
        <v>59</v>
      </c>
      <c r="E295" s="152">
        <v>2005</v>
      </c>
      <c r="F295" s="158">
        <v>2009</v>
      </c>
      <c r="G295" s="183">
        <v>0</v>
      </c>
      <c r="H295" s="183">
        <v>0.3</v>
      </c>
    </row>
    <row r="296" spans="2:8" x14ac:dyDescent="0.2">
      <c r="B296" s="151" t="s">
        <v>321</v>
      </c>
      <c r="C296" s="151" t="s">
        <v>169</v>
      </c>
      <c r="D296" s="152" t="s">
        <v>59</v>
      </c>
      <c r="E296" s="152">
        <v>2005</v>
      </c>
      <c r="F296" s="158">
        <v>2010</v>
      </c>
      <c r="G296" s="183">
        <v>0.1</v>
      </c>
      <c r="H296" s="183">
        <v>0</v>
      </c>
    </row>
    <row r="297" spans="2:8" x14ac:dyDescent="0.2">
      <c r="B297" s="151" t="s">
        <v>322</v>
      </c>
      <c r="C297" s="151" t="s">
        <v>169</v>
      </c>
      <c r="D297" s="152" t="s">
        <v>59</v>
      </c>
      <c r="E297" s="152">
        <v>2005</v>
      </c>
      <c r="F297" s="158">
        <v>2011</v>
      </c>
      <c r="G297" s="183">
        <v>0.1</v>
      </c>
      <c r="H297" s="183">
        <v>0.1</v>
      </c>
    </row>
    <row r="298" spans="2:8" x14ac:dyDescent="0.2">
      <c r="B298" s="151" t="s">
        <v>323</v>
      </c>
      <c r="C298" s="151" t="s">
        <v>169</v>
      </c>
      <c r="D298" s="152" t="s">
        <v>59</v>
      </c>
      <c r="E298" s="152">
        <v>2005</v>
      </c>
      <c r="F298" s="158">
        <v>2012</v>
      </c>
      <c r="G298" s="183">
        <v>0.1</v>
      </c>
      <c r="H298" s="183">
        <v>0.1</v>
      </c>
    </row>
    <row r="299" spans="2:8" x14ac:dyDescent="0.2">
      <c r="B299" s="151" t="s">
        <v>183</v>
      </c>
      <c r="C299" s="151" t="s">
        <v>169</v>
      </c>
      <c r="D299" s="152" t="s">
        <v>59</v>
      </c>
      <c r="E299" s="152">
        <v>2005</v>
      </c>
      <c r="F299" s="158">
        <v>2013</v>
      </c>
      <c r="G299" s="183">
        <v>0.2</v>
      </c>
      <c r="H299" s="183">
        <v>0</v>
      </c>
    </row>
    <row r="300" spans="2:8" x14ac:dyDescent="0.2">
      <c r="B300" s="151" t="s">
        <v>324</v>
      </c>
      <c r="C300" s="151" t="s">
        <v>169</v>
      </c>
      <c r="D300" s="152" t="s">
        <v>59</v>
      </c>
      <c r="E300" s="152">
        <v>2006</v>
      </c>
      <c r="F300" s="158">
        <v>2007</v>
      </c>
      <c r="G300" s="183"/>
      <c r="H300" s="183">
        <v>0.6</v>
      </c>
    </row>
    <row r="301" spans="2:8" x14ac:dyDescent="0.2">
      <c r="B301" s="151" t="s">
        <v>325</v>
      </c>
      <c r="C301" s="151" t="s">
        <v>169</v>
      </c>
      <c r="D301" s="152" t="s">
        <v>59</v>
      </c>
      <c r="E301" s="152">
        <v>2006</v>
      </c>
      <c r="F301" s="158">
        <v>2008</v>
      </c>
      <c r="G301" s="183"/>
      <c r="H301" s="183">
        <v>0.6</v>
      </c>
    </row>
    <row r="302" spans="2:8" x14ac:dyDescent="0.2">
      <c r="B302" s="151" t="s">
        <v>326</v>
      </c>
      <c r="C302" s="151" t="s">
        <v>169</v>
      </c>
      <c r="D302" s="152" t="s">
        <v>59</v>
      </c>
      <c r="E302" s="152">
        <v>2006</v>
      </c>
      <c r="F302" s="158">
        <v>2009</v>
      </c>
      <c r="G302" s="183"/>
      <c r="H302" s="183"/>
    </row>
    <row r="303" spans="2:8" x14ac:dyDescent="0.2">
      <c r="B303" s="151" t="s">
        <v>327</v>
      </c>
      <c r="C303" s="151" t="s">
        <v>169</v>
      </c>
      <c r="D303" s="152" t="s">
        <v>59</v>
      </c>
      <c r="E303" s="152">
        <v>2006</v>
      </c>
      <c r="F303" s="158">
        <v>2010</v>
      </c>
      <c r="G303" s="183">
        <v>0.2</v>
      </c>
      <c r="H303" s="183">
        <v>0.2</v>
      </c>
    </row>
    <row r="304" spans="2:8" x14ac:dyDescent="0.2">
      <c r="B304" s="151" t="s">
        <v>328</v>
      </c>
      <c r="C304" s="151" t="s">
        <v>169</v>
      </c>
      <c r="D304" s="152" t="s">
        <v>59</v>
      </c>
      <c r="E304" s="152">
        <v>2006</v>
      </c>
      <c r="F304" s="158">
        <v>2011</v>
      </c>
      <c r="G304" s="183">
        <v>0.4</v>
      </c>
      <c r="H304" s="183">
        <v>0</v>
      </c>
    </row>
    <row r="305" spans="2:8" x14ac:dyDescent="0.2">
      <c r="B305" s="151" t="s">
        <v>329</v>
      </c>
      <c r="C305" s="151" t="s">
        <v>169</v>
      </c>
      <c r="D305" s="152" t="s">
        <v>59</v>
      </c>
      <c r="E305" s="152">
        <v>2006</v>
      </c>
      <c r="F305" s="158">
        <v>2012</v>
      </c>
      <c r="G305" s="183">
        <v>0.4</v>
      </c>
      <c r="H305" s="183">
        <v>0</v>
      </c>
    </row>
    <row r="306" spans="2:8" x14ac:dyDescent="0.2">
      <c r="B306" s="151" t="s">
        <v>184</v>
      </c>
      <c r="C306" s="151" t="s">
        <v>169</v>
      </c>
      <c r="D306" s="152" t="s">
        <v>59</v>
      </c>
      <c r="E306" s="152">
        <v>2006</v>
      </c>
      <c r="F306" s="158">
        <v>2013</v>
      </c>
      <c r="G306" s="183">
        <v>0.4</v>
      </c>
      <c r="H306" s="183">
        <v>0</v>
      </c>
    </row>
    <row r="307" spans="2:8" x14ac:dyDescent="0.2">
      <c r="B307" s="151" t="s">
        <v>330</v>
      </c>
      <c r="C307" s="151" t="s">
        <v>169</v>
      </c>
      <c r="D307" s="152" t="s">
        <v>59</v>
      </c>
      <c r="E307" s="152">
        <v>2007</v>
      </c>
      <c r="F307" s="158">
        <v>2008</v>
      </c>
      <c r="G307" s="183"/>
      <c r="H307" s="183">
        <v>1</v>
      </c>
    </row>
    <row r="308" spans="2:8" x14ac:dyDescent="0.2">
      <c r="B308" s="151" t="s">
        <v>331</v>
      </c>
      <c r="C308" s="151" t="s">
        <v>169</v>
      </c>
      <c r="D308" s="152" t="s">
        <v>59</v>
      </c>
      <c r="E308" s="152">
        <v>2007</v>
      </c>
      <c r="F308" s="158">
        <v>2009</v>
      </c>
      <c r="G308" s="183"/>
      <c r="H308" s="183">
        <v>1</v>
      </c>
    </row>
    <row r="309" spans="2:8" x14ac:dyDescent="0.2">
      <c r="B309" s="151" t="s">
        <v>332</v>
      </c>
      <c r="C309" s="151" t="s">
        <v>169</v>
      </c>
      <c r="D309" s="152" t="s">
        <v>59</v>
      </c>
      <c r="E309" s="152">
        <v>2007</v>
      </c>
      <c r="F309" s="158">
        <v>2010</v>
      </c>
      <c r="G309" s="183"/>
      <c r="H309" s="183"/>
    </row>
    <row r="310" spans="2:8" x14ac:dyDescent="0.2">
      <c r="B310" s="151" t="s">
        <v>333</v>
      </c>
      <c r="C310" s="151" t="s">
        <v>169</v>
      </c>
      <c r="D310" s="152" t="s">
        <v>59</v>
      </c>
      <c r="E310" s="152">
        <v>2007</v>
      </c>
      <c r="F310" s="158">
        <v>2011</v>
      </c>
      <c r="G310" s="183">
        <v>0</v>
      </c>
      <c r="H310" s="183">
        <v>0.83299999999999996</v>
      </c>
    </row>
    <row r="311" spans="2:8" x14ac:dyDescent="0.2">
      <c r="B311" s="151" t="s">
        <v>334</v>
      </c>
      <c r="C311" s="151" t="s">
        <v>169</v>
      </c>
      <c r="D311" s="152" t="s">
        <v>59</v>
      </c>
      <c r="E311" s="152">
        <v>2007</v>
      </c>
      <c r="F311" s="158">
        <v>2012</v>
      </c>
      <c r="G311" s="183">
        <v>0.5</v>
      </c>
      <c r="H311" s="183">
        <v>0.33300000000000002</v>
      </c>
    </row>
    <row r="312" spans="2:8" x14ac:dyDescent="0.2">
      <c r="B312" s="151" t="s">
        <v>185</v>
      </c>
      <c r="C312" s="151" t="s">
        <v>169</v>
      </c>
      <c r="D312" s="152" t="s">
        <v>59</v>
      </c>
      <c r="E312" s="152">
        <v>2007</v>
      </c>
      <c r="F312" s="158">
        <v>2013</v>
      </c>
      <c r="G312" s="183">
        <v>0.66700000000000004</v>
      </c>
      <c r="H312" s="183">
        <v>0</v>
      </c>
    </row>
    <row r="313" spans="2:8" x14ac:dyDescent="0.2">
      <c r="B313" s="151" t="s">
        <v>335</v>
      </c>
      <c r="C313" s="151" t="s">
        <v>169</v>
      </c>
      <c r="D313" s="152" t="s">
        <v>59</v>
      </c>
      <c r="E313" s="152">
        <v>2008</v>
      </c>
      <c r="F313" s="158">
        <v>2009</v>
      </c>
      <c r="G313" s="183"/>
      <c r="H313" s="183">
        <v>0.5</v>
      </c>
    </row>
    <row r="314" spans="2:8" x14ac:dyDescent="0.2">
      <c r="B314" s="151" t="s">
        <v>336</v>
      </c>
      <c r="C314" s="151" t="s">
        <v>169</v>
      </c>
      <c r="D314" s="152" t="s">
        <v>59</v>
      </c>
      <c r="E314" s="152">
        <v>2008</v>
      </c>
      <c r="F314" s="158">
        <v>2010</v>
      </c>
      <c r="G314" s="183"/>
      <c r="H314" s="183">
        <v>0.5</v>
      </c>
    </row>
    <row r="315" spans="2:8" x14ac:dyDescent="0.2">
      <c r="B315" s="151" t="s">
        <v>337</v>
      </c>
      <c r="C315" s="151" t="s">
        <v>169</v>
      </c>
      <c r="D315" s="152" t="s">
        <v>59</v>
      </c>
      <c r="E315" s="152">
        <v>2008</v>
      </c>
      <c r="F315" s="158">
        <v>2011</v>
      </c>
      <c r="G315" s="183"/>
      <c r="H315" s="183"/>
    </row>
    <row r="316" spans="2:8" x14ac:dyDescent="0.2">
      <c r="B316" s="151" t="s">
        <v>338</v>
      </c>
      <c r="C316" s="151" t="s">
        <v>169</v>
      </c>
      <c r="D316" s="152" t="s">
        <v>59</v>
      </c>
      <c r="E316" s="152">
        <v>2008</v>
      </c>
      <c r="F316" s="158">
        <v>2012</v>
      </c>
      <c r="G316" s="183">
        <v>0.5</v>
      </c>
      <c r="H316" s="183">
        <v>0</v>
      </c>
    </row>
    <row r="317" spans="2:8" x14ac:dyDescent="0.2">
      <c r="B317" s="151" t="s">
        <v>186</v>
      </c>
      <c r="C317" s="151" t="s">
        <v>169</v>
      </c>
      <c r="D317" s="152" t="s">
        <v>59</v>
      </c>
      <c r="E317" s="152">
        <v>2008</v>
      </c>
      <c r="F317" s="158">
        <v>2013</v>
      </c>
      <c r="G317" s="183">
        <v>0.5</v>
      </c>
      <c r="H317" s="183">
        <v>0</v>
      </c>
    </row>
    <row r="318" spans="2:8" x14ac:dyDescent="0.2">
      <c r="B318" s="151" t="s">
        <v>339</v>
      </c>
      <c r="C318" s="151" t="s">
        <v>169</v>
      </c>
      <c r="D318" s="152" t="s">
        <v>59</v>
      </c>
      <c r="E318" s="152">
        <v>2009</v>
      </c>
      <c r="F318" s="158">
        <v>2010</v>
      </c>
      <c r="G318" s="183"/>
      <c r="H318" s="183"/>
    </row>
    <row r="319" spans="2:8" x14ac:dyDescent="0.2">
      <c r="B319" s="151" t="s">
        <v>340</v>
      </c>
      <c r="C319" s="151" t="s">
        <v>169</v>
      </c>
      <c r="D319" s="152" t="s">
        <v>59</v>
      </c>
      <c r="E319" s="152">
        <v>2009</v>
      </c>
      <c r="F319" s="158">
        <v>2011</v>
      </c>
      <c r="G319" s="183"/>
      <c r="H319" s="183"/>
    </row>
    <row r="320" spans="2:8" x14ac:dyDescent="0.2">
      <c r="B320" s="151" t="s">
        <v>341</v>
      </c>
      <c r="C320" s="151" t="s">
        <v>169</v>
      </c>
      <c r="D320" s="152" t="s">
        <v>59</v>
      </c>
      <c r="E320" s="152">
        <v>2009</v>
      </c>
      <c r="F320" s="158">
        <v>2012</v>
      </c>
      <c r="G320" s="183"/>
      <c r="H320" s="183"/>
    </row>
    <row r="321" spans="2:8" x14ac:dyDescent="0.2">
      <c r="B321" s="151" t="s">
        <v>187</v>
      </c>
      <c r="C321" s="151" t="s">
        <v>169</v>
      </c>
      <c r="D321" s="152" t="s">
        <v>59</v>
      </c>
      <c r="E321" s="152">
        <v>2009</v>
      </c>
      <c r="F321" s="158">
        <v>2013</v>
      </c>
      <c r="G321" s="183"/>
      <c r="H321" s="183"/>
    </row>
    <row r="322" spans="2:8" x14ac:dyDescent="0.2">
      <c r="B322" s="151" t="s">
        <v>342</v>
      </c>
      <c r="C322" s="151" t="s">
        <v>169</v>
      </c>
      <c r="D322" s="152" t="s">
        <v>59</v>
      </c>
      <c r="E322" s="152">
        <v>2010</v>
      </c>
      <c r="F322" s="158">
        <v>2011</v>
      </c>
      <c r="G322" s="183"/>
      <c r="H322" s="183"/>
    </row>
    <row r="323" spans="2:8" x14ac:dyDescent="0.2">
      <c r="B323" s="151" t="s">
        <v>343</v>
      </c>
      <c r="C323" s="151" t="s">
        <v>169</v>
      </c>
      <c r="D323" s="152" t="s">
        <v>59</v>
      </c>
      <c r="E323" s="152">
        <v>2010</v>
      </c>
      <c r="F323" s="158">
        <v>2012</v>
      </c>
      <c r="G323" s="183"/>
      <c r="H323" s="183"/>
    </row>
    <row r="324" spans="2:8" x14ac:dyDescent="0.2">
      <c r="B324" s="151" t="s">
        <v>188</v>
      </c>
      <c r="C324" s="151" t="s">
        <v>169</v>
      </c>
      <c r="D324" s="152" t="s">
        <v>59</v>
      </c>
      <c r="E324" s="152">
        <v>2010</v>
      </c>
      <c r="F324" s="158">
        <v>2013</v>
      </c>
      <c r="G324" s="183"/>
      <c r="H324" s="183"/>
    </row>
    <row r="325" spans="2:8" x14ac:dyDescent="0.2">
      <c r="B325" s="151" t="s">
        <v>344</v>
      </c>
      <c r="C325" s="151" t="s">
        <v>169</v>
      </c>
      <c r="D325" s="152" t="s">
        <v>59</v>
      </c>
      <c r="E325" s="152">
        <v>2011</v>
      </c>
      <c r="F325" s="158">
        <v>2012</v>
      </c>
      <c r="G325" s="183"/>
      <c r="H325" s="183">
        <v>0.5</v>
      </c>
    </row>
    <row r="326" spans="2:8" x14ac:dyDescent="0.2">
      <c r="B326" s="151" t="s">
        <v>189</v>
      </c>
      <c r="C326" s="151" t="s">
        <v>169</v>
      </c>
      <c r="D326" s="152" t="s">
        <v>59</v>
      </c>
      <c r="E326" s="152">
        <v>2011</v>
      </c>
      <c r="F326" s="158">
        <v>2013</v>
      </c>
      <c r="G326" s="183"/>
      <c r="H326" s="183">
        <v>0</v>
      </c>
    </row>
    <row r="327" spans="2:8" x14ac:dyDescent="0.2">
      <c r="B327" s="151" t="s">
        <v>190</v>
      </c>
      <c r="C327" s="151" t="s">
        <v>169</v>
      </c>
      <c r="D327" s="152" t="s">
        <v>59</v>
      </c>
      <c r="E327" s="152">
        <v>2012</v>
      </c>
      <c r="F327" s="158">
        <v>2013</v>
      </c>
      <c r="G327" s="183"/>
      <c r="H327" s="183">
        <v>0.66700000000000004</v>
      </c>
    </row>
    <row r="328" spans="2:8" x14ac:dyDescent="0.2">
      <c r="B328" s="151" t="s">
        <v>345</v>
      </c>
      <c r="C328" s="151" t="s">
        <v>169</v>
      </c>
      <c r="D328" s="152" t="s">
        <v>58</v>
      </c>
      <c r="E328" s="152">
        <v>2004</v>
      </c>
      <c r="F328" s="158">
        <v>2005</v>
      </c>
      <c r="G328" s="183"/>
      <c r="H328" s="183">
        <v>0.53900000000000003</v>
      </c>
    </row>
    <row r="329" spans="2:8" x14ac:dyDescent="0.2">
      <c r="B329" s="151" t="s">
        <v>346</v>
      </c>
      <c r="C329" s="151" t="s">
        <v>169</v>
      </c>
      <c r="D329" s="152" t="s">
        <v>58</v>
      </c>
      <c r="E329" s="152">
        <v>2004</v>
      </c>
      <c r="F329" s="158">
        <v>2006</v>
      </c>
      <c r="G329" s="183"/>
      <c r="H329" s="183">
        <v>0.26300000000000001</v>
      </c>
    </row>
    <row r="330" spans="2:8" x14ac:dyDescent="0.2">
      <c r="B330" s="151" t="s">
        <v>347</v>
      </c>
      <c r="C330" s="151" t="s">
        <v>169</v>
      </c>
      <c r="D330" s="152" t="s">
        <v>58</v>
      </c>
      <c r="E330" s="152">
        <v>2004</v>
      </c>
      <c r="F330" s="158">
        <v>2007</v>
      </c>
      <c r="G330" s="183"/>
      <c r="H330" s="183"/>
    </row>
    <row r="331" spans="2:8" x14ac:dyDescent="0.2">
      <c r="B331" s="151" t="s">
        <v>348</v>
      </c>
      <c r="C331" s="151" t="s">
        <v>169</v>
      </c>
      <c r="D331" s="152" t="s">
        <v>58</v>
      </c>
      <c r="E331" s="152">
        <v>2004</v>
      </c>
      <c r="F331" s="158">
        <v>2008</v>
      </c>
      <c r="G331" s="183">
        <v>5.2999999999999999E-2</v>
      </c>
      <c r="H331" s="183">
        <v>0.11799999999999999</v>
      </c>
    </row>
    <row r="332" spans="2:8" x14ac:dyDescent="0.2">
      <c r="B332" s="151" t="s">
        <v>349</v>
      </c>
      <c r="C332" s="151" t="s">
        <v>169</v>
      </c>
      <c r="D332" s="152" t="s">
        <v>58</v>
      </c>
      <c r="E332" s="152">
        <v>2004</v>
      </c>
      <c r="F332" s="158">
        <v>2009</v>
      </c>
      <c r="G332" s="183">
        <v>0.105</v>
      </c>
      <c r="H332" s="183">
        <v>2.5999999999999999E-2</v>
      </c>
    </row>
    <row r="333" spans="2:8" x14ac:dyDescent="0.2">
      <c r="B333" s="151" t="s">
        <v>350</v>
      </c>
      <c r="C333" s="151" t="s">
        <v>169</v>
      </c>
      <c r="D333" s="152" t="s">
        <v>58</v>
      </c>
      <c r="E333" s="152">
        <v>2004</v>
      </c>
      <c r="F333" s="158">
        <v>2010</v>
      </c>
      <c r="G333" s="183">
        <v>0.105</v>
      </c>
      <c r="H333" s="183">
        <v>3.9E-2</v>
      </c>
    </row>
    <row r="334" spans="2:8" x14ac:dyDescent="0.2">
      <c r="B334" s="151" t="s">
        <v>351</v>
      </c>
      <c r="C334" s="151" t="s">
        <v>169</v>
      </c>
      <c r="D334" s="152" t="s">
        <v>58</v>
      </c>
      <c r="E334" s="152">
        <v>2004</v>
      </c>
      <c r="F334" s="158">
        <v>2011</v>
      </c>
      <c r="G334" s="183">
        <v>0.11799999999999999</v>
      </c>
      <c r="H334" s="183">
        <v>1.2999999999999999E-2</v>
      </c>
    </row>
    <row r="335" spans="2:8" x14ac:dyDescent="0.2">
      <c r="B335" s="151" t="s">
        <v>352</v>
      </c>
      <c r="C335" s="151" t="s">
        <v>169</v>
      </c>
      <c r="D335" s="152" t="s">
        <v>58</v>
      </c>
      <c r="E335" s="152">
        <v>2004</v>
      </c>
      <c r="F335" s="158">
        <v>2012</v>
      </c>
      <c r="G335" s="183">
        <v>0.11799999999999999</v>
      </c>
      <c r="H335" s="183">
        <v>0</v>
      </c>
    </row>
    <row r="336" spans="2:8" x14ac:dyDescent="0.2">
      <c r="B336" s="151" t="s">
        <v>191</v>
      </c>
      <c r="C336" s="151" t="s">
        <v>169</v>
      </c>
      <c r="D336" s="152" t="s">
        <v>58</v>
      </c>
      <c r="E336" s="152">
        <v>2004</v>
      </c>
      <c r="F336" s="158">
        <v>2013</v>
      </c>
      <c r="G336" s="183">
        <v>0.13200000000000001</v>
      </c>
      <c r="H336" s="183">
        <v>2.5999999999999999E-2</v>
      </c>
    </row>
    <row r="337" spans="2:8" x14ac:dyDescent="0.2">
      <c r="B337" s="151" t="s">
        <v>353</v>
      </c>
      <c r="C337" s="151" t="s">
        <v>169</v>
      </c>
      <c r="D337" s="152" t="s">
        <v>58</v>
      </c>
      <c r="E337" s="152">
        <v>2005</v>
      </c>
      <c r="F337" s="158">
        <v>2006</v>
      </c>
      <c r="G337" s="183"/>
      <c r="H337" s="183">
        <v>0.59299999999999997</v>
      </c>
    </row>
    <row r="338" spans="2:8" x14ac:dyDescent="0.2">
      <c r="B338" s="151" t="s">
        <v>354</v>
      </c>
      <c r="C338" s="151" t="s">
        <v>169</v>
      </c>
      <c r="D338" s="152" t="s">
        <v>58</v>
      </c>
      <c r="E338" s="152">
        <v>2005</v>
      </c>
      <c r="F338" s="158">
        <v>2007</v>
      </c>
      <c r="G338" s="183"/>
      <c r="H338" s="183">
        <v>0.39800000000000002</v>
      </c>
    </row>
    <row r="339" spans="2:8" x14ac:dyDescent="0.2">
      <c r="B339" s="151" t="s">
        <v>650</v>
      </c>
      <c r="C339" s="151" t="s">
        <v>169</v>
      </c>
      <c r="D339" s="152" t="s">
        <v>58</v>
      </c>
      <c r="E339" s="152">
        <v>2005</v>
      </c>
      <c r="F339" s="158">
        <v>2008</v>
      </c>
      <c r="G339" s="183"/>
      <c r="H339" s="183"/>
    </row>
    <row r="340" spans="2:8" x14ac:dyDescent="0.2">
      <c r="B340" s="151" t="s">
        <v>355</v>
      </c>
      <c r="C340" s="151" t="s">
        <v>169</v>
      </c>
      <c r="D340" s="152" t="s">
        <v>58</v>
      </c>
      <c r="E340" s="152">
        <v>2005</v>
      </c>
      <c r="F340" s="158">
        <v>2009</v>
      </c>
      <c r="G340" s="183">
        <v>4.2000000000000003E-2</v>
      </c>
      <c r="H340" s="183">
        <v>0.22900000000000001</v>
      </c>
    </row>
    <row r="341" spans="2:8" x14ac:dyDescent="0.2">
      <c r="B341" s="151" t="s">
        <v>356</v>
      </c>
      <c r="C341" s="151" t="s">
        <v>169</v>
      </c>
      <c r="D341" s="152" t="s">
        <v>58</v>
      </c>
      <c r="E341" s="152">
        <v>2005</v>
      </c>
      <c r="F341" s="158">
        <v>2010</v>
      </c>
      <c r="G341" s="183">
        <v>0.11899999999999999</v>
      </c>
      <c r="H341" s="183">
        <v>0.11899999999999999</v>
      </c>
    </row>
    <row r="342" spans="2:8" x14ac:dyDescent="0.2">
      <c r="B342" s="151" t="s">
        <v>357</v>
      </c>
      <c r="C342" s="151" t="s">
        <v>169</v>
      </c>
      <c r="D342" s="152" t="s">
        <v>58</v>
      </c>
      <c r="E342" s="152">
        <v>2005</v>
      </c>
      <c r="F342" s="158">
        <v>2011</v>
      </c>
      <c r="G342" s="183">
        <v>0.19500000000000001</v>
      </c>
      <c r="H342" s="183">
        <v>4.2000000000000003E-2</v>
      </c>
    </row>
    <row r="343" spans="2:8" x14ac:dyDescent="0.2">
      <c r="B343" s="151" t="s">
        <v>358</v>
      </c>
      <c r="C343" s="151" t="s">
        <v>169</v>
      </c>
      <c r="D343" s="152" t="s">
        <v>58</v>
      </c>
      <c r="E343" s="152">
        <v>2005</v>
      </c>
      <c r="F343" s="158">
        <v>2012</v>
      </c>
      <c r="G343" s="183">
        <v>0.22900000000000001</v>
      </c>
      <c r="H343" s="183">
        <v>1.7000000000000001E-2</v>
      </c>
    </row>
    <row r="344" spans="2:8" x14ac:dyDescent="0.2">
      <c r="B344" s="151" t="s">
        <v>192</v>
      </c>
      <c r="C344" s="151" t="s">
        <v>169</v>
      </c>
      <c r="D344" s="152" t="s">
        <v>58</v>
      </c>
      <c r="E344" s="152">
        <v>2005</v>
      </c>
      <c r="F344" s="158">
        <v>2013</v>
      </c>
      <c r="G344" s="183">
        <v>0.22900000000000001</v>
      </c>
      <c r="H344" s="183">
        <v>0</v>
      </c>
    </row>
    <row r="345" spans="2:8" x14ac:dyDescent="0.2">
      <c r="B345" s="151" t="s">
        <v>359</v>
      </c>
      <c r="C345" s="151" t="s">
        <v>169</v>
      </c>
      <c r="D345" s="152" t="s">
        <v>58</v>
      </c>
      <c r="E345" s="152">
        <v>2006</v>
      </c>
      <c r="F345" s="158">
        <v>2007</v>
      </c>
      <c r="G345" s="183"/>
      <c r="H345" s="183">
        <v>0.63</v>
      </c>
    </row>
    <row r="346" spans="2:8" x14ac:dyDescent="0.2">
      <c r="B346" s="151" t="s">
        <v>360</v>
      </c>
      <c r="C346" s="151" t="s">
        <v>169</v>
      </c>
      <c r="D346" s="152" t="s">
        <v>58</v>
      </c>
      <c r="E346" s="152">
        <v>2006</v>
      </c>
      <c r="F346" s="158">
        <v>2008</v>
      </c>
      <c r="G346" s="183"/>
      <c r="H346" s="183">
        <v>0.40600000000000003</v>
      </c>
    </row>
    <row r="347" spans="2:8" x14ac:dyDescent="0.2">
      <c r="B347" s="151" t="s">
        <v>361</v>
      </c>
      <c r="C347" s="151" t="s">
        <v>169</v>
      </c>
      <c r="D347" s="152" t="s">
        <v>58</v>
      </c>
      <c r="E347" s="152">
        <v>2006</v>
      </c>
      <c r="F347" s="158">
        <v>2009</v>
      </c>
      <c r="G347" s="183"/>
      <c r="H347" s="183"/>
    </row>
    <row r="348" spans="2:8" x14ac:dyDescent="0.2">
      <c r="B348" s="151" t="s">
        <v>362</v>
      </c>
      <c r="C348" s="151" t="s">
        <v>169</v>
      </c>
      <c r="D348" s="152" t="s">
        <v>58</v>
      </c>
      <c r="E348" s="152">
        <v>2006</v>
      </c>
      <c r="F348" s="158">
        <v>2010</v>
      </c>
      <c r="G348" s="183">
        <v>3.5999999999999997E-2</v>
      </c>
      <c r="H348" s="183">
        <v>0.312</v>
      </c>
    </row>
    <row r="349" spans="2:8" x14ac:dyDescent="0.2">
      <c r="B349" s="151" t="s">
        <v>363</v>
      </c>
      <c r="C349" s="151" t="s">
        <v>169</v>
      </c>
      <c r="D349" s="152" t="s">
        <v>58</v>
      </c>
      <c r="E349" s="152">
        <v>2006</v>
      </c>
      <c r="F349" s="158">
        <v>2011</v>
      </c>
      <c r="G349" s="183">
        <v>0.159</v>
      </c>
      <c r="H349" s="183">
        <v>0.10100000000000001</v>
      </c>
    </row>
    <row r="350" spans="2:8" x14ac:dyDescent="0.2">
      <c r="B350" s="151" t="s">
        <v>364</v>
      </c>
      <c r="C350" s="151" t="s">
        <v>169</v>
      </c>
      <c r="D350" s="152" t="s">
        <v>58</v>
      </c>
      <c r="E350" s="152">
        <v>2006</v>
      </c>
      <c r="F350" s="158">
        <v>2012</v>
      </c>
      <c r="G350" s="183">
        <v>0.21</v>
      </c>
      <c r="H350" s="183">
        <v>3.5999999999999997E-2</v>
      </c>
    </row>
    <row r="351" spans="2:8" x14ac:dyDescent="0.2">
      <c r="B351" s="151" t="s">
        <v>193</v>
      </c>
      <c r="C351" s="151" t="s">
        <v>169</v>
      </c>
      <c r="D351" s="152" t="s">
        <v>58</v>
      </c>
      <c r="E351" s="152">
        <v>2006</v>
      </c>
      <c r="F351" s="158">
        <v>2013</v>
      </c>
      <c r="G351" s="183">
        <v>0.23200000000000001</v>
      </c>
      <c r="H351" s="183">
        <v>2.9000000000000001E-2</v>
      </c>
    </row>
    <row r="352" spans="2:8" x14ac:dyDescent="0.2">
      <c r="B352" s="151" t="s">
        <v>365</v>
      </c>
      <c r="C352" s="151" t="s">
        <v>169</v>
      </c>
      <c r="D352" s="152" t="s">
        <v>58</v>
      </c>
      <c r="E352" s="152">
        <v>2007</v>
      </c>
      <c r="F352" s="158">
        <v>2008</v>
      </c>
      <c r="G352" s="183"/>
      <c r="H352" s="183">
        <v>0.60899999999999999</v>
      </c>
    </row>
    <row r="353" spans="2:8" x14ac:dyDescent="0.2">
      <c r="B353" s="151" t="s">
        <v>366</v>
      </c>
      <c r="C353" s="151" t="s">
        <v>169</v>
      </c>
      <c r="D353" s="152" t="s">
        <v>58</v>
      </c>
      <c r="E353" s="152">
        <v>2007</v>
      </c>
      <c r="F353" s="158">
        <v>2009</v>
      </c>
      <c r="G353" s="183"/>
      <c r="H353" s="183">
        <v>0.45900000000000002</v>
      </c>
    </row>
    <row r="354" spans="2:8" x14ac:dyDescent="0.2">
      <c r="B354" s="151" t="s">
        <v>367</v>
      </c>
      <c r="C354" s="151" t="s">
        <v>169</v>
      </c>
      <c r="D354" s="152" t="s">
        <v>58</v>
      </c>
      <c r="E354" s="152">
        <v>2007</v>
      </c>
      <c r="F354" s="158">
        <v>2010</v>
      </c>
      <c r="G354" s="183"/>
      <c r="H354" s="183"/>
    </row>
    <row r="355" spans="2:8" x14ac:dyDescent="0.2">
      <c r="B355" s="151" t="s">
        <v>368</v>
      </c>
      <c r="C355" s="151" t="s">
        <v>169</v>
      </c>
      <c r="D355" s="152" t="s">
        <v>58</v>
      </c>
      <c r="E355" s="152">
        <v>2007</v>
      </c>
      <c r="F355" s="158">
        <v>2011</v>
      </c>
      <c r="G355" s="183">
        <v>5.2999999999999999E-2</v>
      </c>
      <c r="H355" s="183">
        <v>0.27100000000000002</v>
      </c>
    </row>
    <row r="356" spans="2:8" x14ac:dyDescent="0.2">
      <c r="B356" s="151" t="s">
        <v>369</v>
      </c>
      <c r="C356" s="151" t="s">
        <v>169</v>
      </c>
      <c r="D356" s="152" t="s">
        <v>58</v>
      </c>
      <c r="E356" s="152">
        <v>2007</v>
      </c>
      <c r="F356" s="158">
        <v>2012</v>
      </c>
      <c r="G356" s="183">
        <v>0.188</v>
      </c>
      <c r="H356" s="183">
        <v>0.06</v>
      </c>
    </row>
    <row r="357" spans="2:8" x14ac:dyDescent="0.2">
      <c r="B357" s="151" t="s">
        <v>194</v>
      </c>
      <c r="C357" s="151" t="s">
        <v>169</v>
      </c>
      <c r="D357" s="152" t="s">
        <v>58</v>
      </c>
      <c r="E357" s="152">
        <v>2007</v>
      </c>
      <c r="F357" s="158">
        <v>2013</v>
      </c>
      <c r="G357" s="183">
        <v>0.24099999999999999</v>
      </c>
      <c r="H357" s="183">
        <v>6.8000000000000005E-2</v>
      </c>
    </row>
    <row r="358" spans="2:8" x14ac:dyDescent="0.2">
      <c r="B358" s="151" t="s">
        <v>370</v>
      </c>
      <c r="C358" s="151" t="s">
        <v>169</v>
      </c>
      <c r="D358" s="152" t="s">
        <v>58</v>
      </c>
      <c r="E358" s="152">
        <v>2008</v>
      </c>
      <c r="F358" s="158">
        <v>2009</v>
      </c>
      <c r="G358" s="183"/>
      <c r="H358" s="183">
        <v>0.70599999999999996</v>
      </c>
    </row>
    <row r="359" spans="2:8" x14ac:dyDescent="0.2">
      <c r="B359" s="151" t="s">
        <v>371</v>
      </c>
      <c r="C359" s="151" t="s">
        <v>169</v>
      </c>
      <c r="D359" s="152" t="s">
        <v>58</v>
      </c>
      <c r="E359" s="152">
        <v>2008</v>
      </c>
      <c r="F359" s="158">
        <v>2010</v>
      </c>
      <c r="G359" s="183"/>
      <c r="H359" s="183">
        <v>0.41299999999999998</v>
      </c>
    </row>
    <row r="360" spans="2:8" x14ac:dyDescent="0.2">
      <c r="B360" s="151" t="s">
        <v>372</v>
      </c>
      <c r="C360" s="151" t="s">
        <v>169</v>
      </c>
      <c r="D360" s="152" t="s">
        <v>58</v>
      </c>
      <c r="E360" s="152">
        <v>2008</v>
      </c>
      <c r="F360" s="158">
        <v>2011</v>
      </c>
      <c r="G360" s="183"/>
      <c r="H360" s="183"/>
    </row>
    <row r="361" spans="2:8" x14ac:dyDescent="0.2">
      <c r="B361" s="151" t="s">
        <v>373</v>
      </c>
      <c r="C361" s="151" t="s">
        <v>169</v>
      </c>
      <c r="D361" s="152" t="s">
        <v>58</v>
      </c>
      <c r="E361" s="152">
        <v>2008</v>
      </c>
      <c r="F361" s="158">
        <v>2012</v>
      </c>
      <c r="G361" s="183">
        <v>2.4E-2</v>
      </c>
      <c r="H361" s="183">
        <v>0.31</v>
      </c>
    </row>
    <row r="362" spans="2:8" x14ac:dyDescent="0.2">
      <c r="B362" s="151" t="s">
        <v>195</v>
      </c>
      <c r="C362" s="151" t="s">
        <v>169</v>
      </c>
      <c r="D362" s="152" t="s">
        <v>58</v>
      </c>
      <c r="E362" s="152">
        <v>2008</v>
      </c>
      <c r="F362" s="158">
        <v>2013</v>
      </c>
      <c r="G362" s="183">
        <v>0.13500000000000001</v>
      </c>
      <c r="H362" s="183">
        <v>0.13500000000000001</v>
      </c>
    </row>
    <row r="363" spans="2:8" x14ac:dyDescent="0.2">
      <c r="B363" s="151" t="s">
        <v>374</v>
      </c>
      <c r="C363" s="151" t="s">
        <v>169</v>
      </c>
      <c r="D363" s="152" t="s">
        <v>58</v>
      </c>
      <c r="E363" s="152">
        <v>2009</v>
      </c>
      <c r="F363" s="158">
        <v>2010</v>
      </c>
      <c r="G363" s="183"/>
      <c r="H363" s="183">
        <v>0.49199999999999999</v>
      </c>
    </row>
    <row r="364" spans="2:8" x14ac:dyDescent="0.2">
      <c r="B364" s="151" t="s">
        <v>375</v>
      </c>
      <c r="C364" s="151" t="s">
        <v>169</v>
      </c>
      <c r="D364" s="152" t="s">
        <v>58</v>
      </c>
      <c r="E364" s="152">
        <v>2009</v>
      </c>
      <c r="F364" s="158">
        <v>2011</v>
      </c>
      <c r="G364" s="183"/>
      <c r="H364" s="183">
        <v>0.33500000000000002</v>
      </c>
    </row>
    <row r="365" spans="2:8" x14ac:dyDescent="0.2">
      <c r="B365" s="151" t="s">
        <v>376</v>
      </c>
      <c r="C365" s="151" t="s">
        <v>169</v>
      </c>
      <c r="D365" s="152" t="s">
        <v>58</v>
      </c>
      <c r="E365" s="152">
        <v>2009</v>
      </c>
      <c r="F365" s="158">
        <v>2012</v>
      </c>
      <c r="G365" s="183"/>
      <c r="H365" s="183"/>
    </row>
    <row r="366" spans="2:8" x14ac:dyDescent="0.2">
      <c r="B366" s="151" t="s">
        <v>196</v>
      </c>
      <c r="C366" s="151" t="s">
        <v>169</v>
      </c>
      <c r="D366" s="152" t="s">
        <v>58</v>
      </c>
      <c r="E366" s="152">
        <v>2009</v>
      </c>
      <c r="F366" s="158">
        <v>2013</v>
      </c>
      <c r="G366" s="183">
        <v>3.1E-2</v>
      </c>
      <c r="H366" s="183">
        <v>0.24099999999999999</v>
      </c>
    </row>
    <row r="367" spans="2:8" x14ac:dyDescent="0.2">
      <c r="B367" s="151" t="s">
        <v>377</v>
      </c>
      <c r="C367" s="151" t="s">
        <v>169</v>
      </c>
      <c r="D367" s="152" t="s">
        <v>58</v>
      </c>
      <c r="E367" s="152">
        <v>2010</v>
      </c>
      <c r="F367" s="158">
        <v>2011</v>
      </c>
      <c r="G367" s="183"/>
      <c r="H367" s="183">
        <v>0.59899999999999998</v>
      </c>
    </row>
    <row r="368" spans="2:8" x14ac:dyDescent="0.2">
      <c r="B368" s="151" t="s">
        <v>378</v>
      </c>
      <c r="C368" s="151" t="s">
        <v>169</v>
      </c>
      <c r="D368" s="152" t="s">
        <v>58</v>
      </c>
      <c r="E368" s="152">
        <v>2010</v>
      </c>
      <c r="F368" s="158">
        <v>2012</v>
      </c>
      <c r="G368" s="183"/>
      <c r="H368" s="183">
        <v>0.42299999999999999</v>
      </c>
    </row>
    <row r="369" spans="2:8" x14ac:dyDescent="0.2">
      <c r="B369" s="151" t="s">
        <v>197</v>
      </c>
      <c r="C369" s="151" t="s">
        <v>169</v>
      </c>
      <c r="D369" s="152" t="s">
        <v>58</v>
      </c>
      <c r="E369" s="152">
        <v>2010</v>
      </c>
      <c r="F369" s="158">
        <v>2013</v>
      </c>
      <c r="G369" s="183"/>
      <c r="H369" s="183"/>
    </row>
    <row r="370" spans="2:8" x14ac:dyDescent="0.2">
      <c r="B370" s="151" t="s">
        <v>379</v>
      </c>
      <c r="C370" s="151" t="s">
        <v>169</v>
      </c>
      <c r="D370" s="152" t="s">
        <v>58</v>
      </c>
      <c r="E370" s="152">
        <v>2011</v>
      </c>
      <c r="F370" s="158">
        <v>2012</v>
      </c>
      <c r="G370" s="183"/>
      <c r="H370" s="183">
        <v>0.64100000000000001</v>
      </c>
    </row>
    <row r="371" spans="2:8" x14ac:dyDescent="0.2">
      <c r="B371" s="151" t="s">
        <v>198</v>
      </c>
      <c r="C371" s="151" t="s">
        <v>169</v>
      </c>
      <c r="D371" s="152" t="s">
        <v>58</v>
      </c>
      <c r="E371" s="152">
        <v>2011</v>
      </c>
      <c r="F371" s="158">
        <v>2013</v>
      </c>
      <c r="G371" s="183"/>
      <c r="H371" s="183">
        <v>0.48099999999999998</v>
      </c>
    </row>
    <row r="372" spans="2:8" x14ac:dyDescent="0.2">
      <c r="B372" s="151" t="s">
        <v>199</v>
      </c>
      <c r="C372" s="151" t="s">
        <v>169</v>
      </c>
      <c r="D372" s="152" t="s">
        <v>58</v>
      </c>
      <c r="E372" s="152">
        <v>2012</v>
      </c>
      <c r="F372" s="158">
        <v>2013</v>
      </c>
      <c r="G372" s="183"/>
      <c r="H372" s="183">
        <v>0.64500000000000002</v>
      </c>
    </row>
    <row r="373" spans="2:8" x14ac:dyDescent="0.2">
      <c r="B373" s="151" t="s">
        <v>380</v>
      </c>
      <c r="C373" s="151" t="s">
        <v>169</v>
      </c>
      <c r="D373" s="152" t="s">
        <v>57</v>
      </c>
      <c r="E373" s="152">
        <v>2004</v>
      </c>
      <c r="F373" s="158">
        <v>2005</v>
      </c>
      <c r="G373" s="183"/>
      <c r="H373" s="183">
        <v>0.72899999999999998</v>
      </c>
    </row>
    <row r="374" spans="2:8" x14ac:dyDescent="0.2">
      <c r="B374" s="151" t="s">
        <v>381</v>
      </c>
      <c r="C374" s="151" t="s">
        <v>169</v>
      </c>
      <c r="D374" s="152" t="s">
        <v>57</v>
      </c>
      <c r="E374" s="152">
        <v>2004</v>
      </c>
      <c r="F374" s="158">
        <v>2006</v>
      </c>
      <c r="G374" s="183"/>
      <c r="H374" s="183">
        <v>0.53500000000000003</v>
      </c>
    </row>
    <row r="375" spans="2:8" x14ac:dyDescent="0.2">
      <c r="B375" s="151" t="s">
        <v>382</v>
      </c>
      <c r="C375" s="151" t="s">
        <v>169</v>
      </c>
      <c r="D375" s="152" t="s">
        <v>57</v>
      </c>
      <c r="E375" s="152">
        <v>2004</v>
      </c>
      <c r="F375" s="158">
        <v>2007</v>
      </c>
      <c r="G375" s="183"/>
      <c r="H375" s="183"/>
    </row>
    <row r="376" spans="2:8" x14ac:dyDescent="0.2">
      <c r="B376" s="151" t="s">
        <v>383</v>
      </c>
      <c r="C376" s="151" t="s">
        <v>169</v>
      </c>
      <c r="D376" s="152" t="s">
        <v>57</v>
      </c>
      <c r="E376" s="152">
        <v>2004</v>
      </c>
      <c r="F376" s="158">
        <v>2008</v>
      </c>
      <c r="G376" s="183">
        <v>0.17100000000000001</v>
      </c>
      <c r="H376" s="183">
        <v>0.26900000000000002</v>
      </c>
    </row>
    <row r="377" spans="2:8" x14ac:dyDescent="0.2">
      <c r="B377" s="151" t="s">
        <v>384</v>
      </c>
      <c r="C377" s="151" t="s">
        <v>169</v>
      </c>
      <c r="D377" s="152" t="s">
        <v>57</v>
      </c>
      <c r="E377" s="152">
        <v>2004</v>
      </c>
      <c r="F377" s="158">
        <v>2009</v>
      </c>
      <c r="G377" s="183">
        <v>0.36</v>
      </c>
      <c r="H377" s="183">
        <v>7.1999999999999995E-2</v>
      </c>
    </row>
    <row r="378" spans="2:8" x14ac:dyDescent="0.2">
      <c r="B378" s="151" t="s">
        <v>385</v>
      </c>
      <c r="C378" s="151" t="s">
        <v>169</v>
      </c>
      <c r="D378" s="152" t="s">
        <v>57</v>
      </c>
      <c r="E378" s="152">
        <v>2004</v>
      </c>
      <c r="F378" s="158">
        <v>2010</v>
      </c>
      <c r="G378" s="183">
        <v>0.40500000000000003</v>
      </c>
      <c r="H378" s="183">
        <v>2.8000000000000001E-2</v>
      </c>
    </row>
    <row r="379" spans="2:8" x14ac:dyDescent="0.2">
      <c r="B379" s="151" t="s">
        <v>386</v>
      </c>
      <c r="C379" s="151" t="s">
        <v>169</v>
      </c>
      <c r="D379" s="152" t="s">
        <v>57</v>
      </c>
      <c r="E379" s="152">
        <v>2004</v>
      </c>
      <c r="F379" s="158">
        <v>2011</v>
      </c>
      <c r="G379" s="183">
        <v>0.42</v>
      </c>
      <c r="H379" s="183">
        <v>1.7000000000000001E-2</v>
      </c>
    </row>
    <row r="380" spans="2:8" x14ac:dyDescent="0.2">
      <c r="B380" s="151" t="s">
        <v>387</v>
      </c>
      <c r="C380" s="151" t="s">
        <v>169</v>
      </c>
      <c r="D380" s="152" t="s">
        <v>57</v>
      </c>
      <c r="E380" s="152">
        <v>2004</v>
      </c>
      <c r="F380" s="158">
        <v>2012</v>
      </c>
      <c r="G380" s="183">
        <v>0.42899999999999999</v>
      </c>
      <c r="H380" s="183">
        <v>8.9999999999999993E-3</v>
      </c>
    </row>
    <row r="381" spans="2:8" x14ac:dyDescent="0.2">
      <c r="B381" s="151" t="s">
        <v>200</v>
      </c>
      <c r="C381" s="151" t="s">
        <v>169</v>
      </c>
      <c r="D381" s="152" t="s">
        <v>57</v>
      </c>
      <c r="E381" s="152">
        <v>2004</v>
      </c>
      <c r="F381" s="158">
        <v>2013</v>
      </c>
      <c r="G381" s="183">
        <v>0.43099999999999999</v>
      </c>
      <c r="H381" s="183">
        <v>1.2999999999999999E-2</v>
      </c>
    </row>
    <row r="382" spans="2:8" x14ac:dyDescent="0.2">
      <c r="B382" s="151" t="s">
        <v>388</v>
      </c>
      <c r="C382" s="151" t="s">
        <v>169</v>
      </c>
      <c r="D382" s="152" t="s">
        <v>57</v>
      </c>
      <c r="E382" s="152">
        <v>2005</v>
      </c>
      <c r="F382" s="158">
        <v>2006</v>
      </c>
      <c r="G382" s="183"/>
      <c r="H382" s="183">
        <v>0.72799999999999998</v>
      </c>
    </row>
    <row r="383" spans="2:8" x14ac:dyDescent="0.2">
      <c r="B383" s="151" t="s">
        <v>389</v>
      </c>
      <c r="C383" s="151" t="s">
        <v>169</v>
      </c>
      <c r="D383" s="152" t="s">
        <v>57</v>
      </c>
      <c r="E383" s="152">
        <v>2005</v>
      </c>
      <c r="F383" s="158">
        <v>2007</v>
      </c>
      <c r="G383" s="183"/>
      <c r="H383" s="183">
        <v>0.54</v>
      </c>
    </row>
    <row r="384" spans="2:8" x14ac:dyDescent="0.2">
      <c r="B384" s="151" t="s">
        <v>390</v>
      </c>
      <c r="C384" s="151" t="s">
        <v>169</v>
      </c>
      <c r="D384" s="152" t="s">
        <v>57</v>
      </c>
      <c r="E384" s="152">
        <v>2005</v>
      </c>
      <c r="F384" s="158">
        <v>2008</v>
      </c>
      <c r="G384" s="183"/>
      <c r="H384" s="183"/>
    </row>
    <row r="385" spans="2:8" x14ac:dyDescent="0.2">
      <c r="B385" s="151" t="s">
        <v>391</v>
      </c>
      <c r="C385" s="151" t="s">
        <v>169</v>
      </c>
      <c r="D385" s="152" t="s">
        <v>57</v>
      </c>
      <c r="E385" s="152">
        <v>2005</v>
      </c>
      <c r="F385" s="158">
        <v>2009</v>
      </c>
      <c r="G385" s="183">
        <v>0.13700000000000001</v>
      </c>
      <c r="H385" s="183">
        <v>0.28499999999999998</v>
      </c>
    </row>
    <row r="386" spans="2:8" x14ac:dyDescent="0.2">
      <c r="B386" s="151" t="s">
        <v>392</v>
      </c>
      <c r="C386" s="151" t="s">
        <v>169</v>
      </c>
      <c r="D386" s="152" t="s">
        <v>57</v>
      </c>
      <c r="E386" s="152">
        <v>2005</v>
      </c>
      <c r="F386" s="158">
        <v>2010</v>
      </c>
      <c r="G386" s="183">
        <v>0.32100000000000001</v>
      </c>
      <c r="H386" s="183">
        <v>9.0999999999999998E-2</v>
      </c>
    </row>
    <row r="387" spans="2:8" x14ac:dyDescent="0.2">
      <c r="B387" s="151" t="s">
        <v>393</v>
      </c>
      <c r="C387" s="151" t="s">
        <v>169</v>
      </c>
      <c r="D387" s="152" t="s">
        <v>57</v>
      </c>
      <c r="E387" s="152">
        <v>2005</v>
      </c>
      <c r="F387" s="158">
        <v>2011</v>
      </c>
      <c r="G387" s="183">
        <v>0.38400000000000001</v>
      </c>
      <c r="H387" s="183">
        <v>3.2000000000000001E-2</v>
      </c>
    </row>
    <row r="388" spans="2:8" x14ac:dyDescent="0.2">
      <c r="B388" s="151" t="s">
        <v>394</v>
      </c>
      <c r="C388" s="151" t="s">
        <v>169</v>
      </c>
      <c r="D388" s="152" t="s">
        <v>57</v>
      </c>
      <c r="E388" s="152">
        <v>2005</v>
      </c>
      <c r="F388" s="158">
        <v>2012</v>
      </c>
      <c r="G388" s="183">
        <v>0.40300000000000002</v>
      </c>
      <c r="H388" s="183">
        <v>1.2999999999999999E-2</v>
      </c>
    </row>
    <row r="389" spans="2:8" x14ac:dyDescent="0.2">
      <c r="B389" s="151" t="s">
        <v>201</v>
      </c>
      <c r="C389" s="151" t="s">
        <v>169</v>
      </c>
      <c r="D389" s="152" t="s">
        <v>57</v>
      </c>
      <c r="E389" s="152">
        <v>2005</v>
      </c>
      <c r="F389" s="158">
        <v>2013</v>
      </c>
      <c r="G389" s="183">
        <v>0.41099999999999998</v>
      </c>
      <c r="H389" s="183">
        <v>0.01</v>
      </c>
    </row>
    <row r="390" spans="2:8" x14ac:dyDescent="0.2">
      <c r="B390" s="151" t="s">
        <v>395</v>
      </c>
      <c r="C390" s="151" t="s">
        <v>169</v>
      </c>
      <c r="D390" s="152" t="s">
        <v>57</v>
      </c>
      <c r="E390" s="152">
        <v>2006</v>
      </c>
      <c r="F390" s="158">
        <v>2007</v>
      </c>
      <c r="G390" s="183"/>
      <c r="H390" s="183">
        <v>0.70099999999999996</v>
      </c>
    </row>
    <row r="391" spans="2:8" x14ac:dyDescent="0.2">
      <c r="B391" s="151" t="s">
        <v>396</v>
      </c>
      <c r="C391" s="151" t="s">
        <v>169</v>
      </c>
      <c r="D391" s="152" t="s">
        <v>57</v>
      </c>
      <c r="E391" s="152">
        <v>2006</v>
      </c>
      <c r="F391" s="158">
        <v>2008</v>
      </c>
      <c r="G391" s="183"/>
      <c r="H391" s="183">
        <v>0.55700000000000005</v>
      </c>
    </row>
    <row r="392" spans="2:8" x14ac:dyDescent="0.2">
      <c r="B392" s="151" t="s">
        <v>397</v>
      </c>
      <c r="C392" s="151" t="s">
        <v>169</v>
      </c>
      <c r="D392" s="152" t="s">
        <v>57</v>
      </c>
      <c r="E392" s="152">
        <v>2006</v>
      </c>
      <c r="F392" s="158">
        <v>2009</v>
      </c>
      <c r="G392" s="183"/>
      <c r="H392" s="183"/>
    </row>
    <row r="393" spans="2:8" x14ac:dyDescent="0.2">
      <c r="B393" s="151" t="s">
        <v>398</v>
      </c>
      <c r="C393" s="151" t="s">
        <v>169</v>
      </c>
      <c r="D393" s="152" t="s">
        <v>57</v>
      </c>
      <c r="E393" s="152">
        <v>2006</v>
      </c>
      <c r="F393" s="158">
        <v>2010</v>
      </c>
      <c r="G393" s="183">
        <v>0.15</v>
      </c>
      <c r="H393" s="183">
        <v>0.29699999999999999</v>
      </c>
    </row>
    <row r="394" spans="2:8" x14ac:dyDescent="0.2">
      <c r="B394" s="151" t="s">
        <v>399</v>
      </c>
      <c r="C394" s="151" t="s">
        <v>169</v>
      </c>
      <c r="D394" s="152" t="s">
        <v>57</v>
      </c>
      <c r="E394" s="152">
        <v>2006</v>
      </c>
      <c r="F394" s="158">
        <v>2011</v>
      </c>
      <c r="G394" s="183">
        <v>0.34599999999999997</v>
      </c>
      <c r="H394" s="183">
        <v>9.1999999999999998E-2</v>
      </c>
    </row>
    <row r="395" spans="2:8" x14ac:dyDescent="0.2">
      <c r="B395" s="151" t="s">
        <v>400</v>
      </c>
      <c r="C395" s="151" t="s">
        <v>169</v>
      </c>
      <c r="D395" s="152" t="s">
        <v>57</v>
      </c>
      <c r="E395" s="152">
        <v>2006</v>
      </c>
      <c r="F395" s="158">
        <v>2012</v>
      </c>
      <c r="G395" s="183">
        <v>0.39700000000000002</v>
      </c>
      <c r="H395" s="183">
        <v>2.4E-2</v>
      </c>
    </row>
    <row r="396" spans="2:8" x14ac:dyDescent="0.2">
      <c r="B396" s="151" t="s">
        <v>202</v>
      </c>
      <c r="C396" s="151" t="s">
        <v>169</v>
      </c>
      <c r="D396" s="152" t="s">
        <v>57</v>
      </c>
      <c r="E396" s="152">
        <v>2006</v>
      </c>
      <c r="F396" s="158">
        <v>2013</v>
      </c>
      <c r="G396" s="183">
        <v>0.42799999999999999</v>
      </c>
      <c r="H396" s="183">
        <v>8.9999999999999993E-3</v>
      </c>
    </row>
    <row r="397" spans="2:8" x14ac:dyDescent="0.2">
      <c r="B397" s="151" t="s">
        <v>401</v>
      </c>
      <c r="C397" s="151" t="s">
        <v>169</v>
      </c>
      <c r="D397" s="152" t="s">
        <v>57</v>
      </c>
      <c r="E397" s="152">
        <v>2007</v>
      </c>
      <c r="F397" s="158">
        <v>2008</v>
      </c>
      <c r="G397" s="183"/>
      <c r="H397" s="183">
        <v>0.64900000000000002</v>
      </c>
    </row>
    <row r="398" spans="2:8" x14ac:dyDescent="0.2">
      <c r="B398" s="151" t="s">
        <v>402</v>
      </c>
      <c r="C398" s="151" t="s">
        <v>169</v>
      </c>
      <c r="D398" s="152" t="s">
        <v>57</v>
      </c>
      <c r="E398" s="152">
        <v>2007</v>
      </c>
      <c r="F398" s="158">
        <v>2009</v>
      </c>
      <c r="G398" s="183"/>
      <c r="H398" s="183">
        <v>0.53800000000000003</v>
      </c>
    </row>
    <row r="399" spans="2:8" x14ac:dyDescent="0.2">
      <c r="B399" s="151" t="s">
        <v>403</v>
      </c>
      <c r="C399" s="151" t="s">
        <v>169</v>
      </c>
      <c r="D399" s="152" t="s">
        <v>57</v>
      </c>
      <c r="E399" s="152">
        <v>2007</v>
      </c>
      <c r="F399" s="158">
        <v>2010</v>
      </c>
      <c r="G399" s="183"/>
      <c r="H399" s="183"/>
    </row>
    <row r="400" spans="2:8" x14ac:dyDescent="0.2">
      <c r="B400" s="151" t="s">
        <v>404</v>
      </c>
      <c r="C400" s="151" t="s">
        <v>169</v>
      </c>
      <c r="D400" s="152" t="s">
        <v>57</v>
      </c>
      <c r="E400" s="152">
        <v>2007</v>
      </c>
      <c r="F400" s="158">
        <v>2011</v>
      </c>
      <c r="G400" s="183">
        <v>0.17</v>
      </c>
      <c r="H400" s="183">
        <v>0.26</v>
      </c>
    </row>
    <row r="401" spans="2:8" x14ac:dyDescent="0.2">
      <c r="B401" s="151" t="s">
        <v>405</v>
      </c>
      <c r="C401" s="151" t="s">
        <v>169</v>
      </c>
      <c r="D401" s="152" t="s">
        <v>57</v>
      </c>
      <c r="E401" s="152">
        <v>2007</v>
      </c>
      <c r="F401" s="158">
        <v>2012</v>
      </c>
      <c r="G401" s="183">
        <v>0.33500000000000002</v>
      </c>
      <c r="H401" s="183">
        <v>5.1999999999999998E-2</v>
      </c>
    </row>
    <row r="402" spans="2:8" x14ac:dyDescent="0.2">
      <c r="B402" s="151" t="s">
        <v>203</v>
      </c>
      <c r="C402" s="151" t="s">
        <v>169</v>
      </c>
      <c r="D402" s="152" t="s">
        <v>57</v>
      </c>
      <c r="E402" s="152">
        <v>2007</v>
      </c>
      <c r="F402" s="158">
        <v>2013</v>
      </c>
      <c r="G402" s="183">
        <v>0.39100000000000001</v>
      </c>
      <c r="H402" s="183">
        <v>3.4000000000000002E-2</v>
      </c>
    </row>
    <row r="403" spans="2:8" x14ac:dyDescent="0.2">
      <c r="B403" s="151" t="s">
        <v>406</v>
      </c>
      <c r="C403" s="151" t="s">
        <v>169</v>
      </c>
      <c r="D403" s="152" t="s">
        <v>57</v>
      </c>
      <c r="E403" s="152">
        <v>2008</v>
      </c>
      <c r="F403" s="158">
        <v>2009</v>
      </c>
      <c r="G403" s="183"/>
      <c r="H403" s="183">
        <v>0.749</v>
      </c>
    </row>
    <row r="404" spans="2:8" x14ac:dyDescent="0.2">
      <c r="B404" s="151" t="s">
        <v>407</v>
      </c>
      <c r="C404" s="151" t="s">
        <v>169</v>
      </c>
      <c r="D404" s="152" t="s">
        <v>57</v>
      </c>
      <c r="E404" s="152">
        <v>2008</v>
      </c>
      <c r="F404" s="158">
        <v>2010</v>
      </c>
      <c r="G404" s="183"/>
      <c r="H404" s="183">
        <v>0.622</v>
      </c>
    </row>
    <row r="405" spans="2:8" x14ac:dyDescent="0.2">
      <c r="B405" s="151" t="s">
        <v>408</v>
      </c>
      <c r="C405" s="151" t="s">
        <v>169</v>
      </c>
      <c r="D405" s="152" t="s">
        <v>57</v>
      </c>
      <c r="E405" s="152">
        <v>2008</v>
      </c>
      <c r="F405" s="158">
        <v>2011</v>
      </c>
      <c r="G405" s="183"/>
      <c r="H405" s="183"/>
    </row>
    <row r="406" spans="2:8" x14ac:dyDescent="0.2">
      <c r="B406" s="151" t="s">
        <v>409</v>
      </c>
      <c r="C406" s="151" t="s">
        <v>169</v>
      </c>
      <c r="D406" s="152" t="s">
        <v>57</v>
      </c>
      <c r="E406" s="152">
        <v>2008</v>
      </c>
      <c r="F406" s="158">
        <v>2012</v>
      </c>
      <c r="G406" s="183">
        <v>0.159</v>
      </c>
      <c r="H406" s="183">
        <v>0.33400000000000002</v>
      </c>
    </row>
    <row r="407" spans="2:8" x14ac:dyDescent="0.2">
      <c r="B407" s="151" t="s">
        <v>204</v>
      </c>
      <c r="C407" s="151" t="s">
        <v>169</v>
      </c>
      <c r="D407" s="152" t="s">
        <v>57</v>
      </c>
      <c r="E407" s="152">
        <v>2008</v>
      </c>
      <c r="F407" s="158">
        <v>2013</v>
      </c>
      <c r="G407" s="183">
        <v>0.38700000000000001</v>
      </c>
      <c r="H407" s="183">
        <v>0.10100000000000001</v>
      </c>
    </row>
    <row r="408" spans="2:8" x14ac:dyDescent="0.2">
      <c r="B408" s="151" t="s">
        <v>410</v>
      </c>
      <c r="C408" s="151" t="s">
        <v>169</v>
      </c>
      <c r="D408" s="152" t="s">
        <v>57</v>
      </c>
      <c r="E408" s="152">
        <v>2009</v>
      </c>
      <c r="F408" s="158">
        <v>2010</v>
      </c>
      <c r="G408" s="183"/>
      <c r="H408" s="183">
        <v>0.69299999999999995</v>
      </c>
    </row>
    <row r="409" spans="2:8" x14ac:dyDescent="0.2">
      <c r="B409" s="151" t="s">
        <v>411</v>
      </c>
      <c r="C409" s="151" t="s">
        <v>169</v>
      </c>
      <c r="D409" s="152" t="s">
        <v>57</v>
      </c>
      <c r="E409" s="152">
        <v>2009</v>
      </c>
      <c r="F409" s="158">
        <v>2011</v>
      </c>
      <c r="G409" s="183"/>
      <c r="H409" s="183">
        <v>0.55300000000000005</v>
      </c>
    </row>
    <row r="410" spans="2:8" x14ac:dyDescent="0.2">
      <c r="B410" s="151" t="s">
        <v>412</v>
      </c>
      <c r="C410" s="151" t="s">
        <v>169</v>
      </c>
      <c r="D410" s="152" t="s">
        <v>57</v>
      </c>
      <c r="E410" s="152">
        <v>2009</v>
      </c>
      <c r="F410" s="158">
        <v>2012</v>
      </c>
      <c r="G410" s="183"/>
      <c r="H410" s="183"/>
    </row>
    <row r="411" spans="2:8" x14ac:dyDescent="0.2">
      <c r="B411" s="151" t="s">
        <v>205</v>
      </c>
      <c r="C411" s="151" t="s">
        <v>169</v>
      </c>
      <c r="D411" s="152" t="s">
        <v>57</v>
      </c>
      <c r="E411" s="152">
        <v>2009</v>
      </c>
      <c r="F411" s="158">
        <v>2013</v>
      </c>
      <c r="G411" s="183">
        <v>0.14899999999999999</v>
      </c>
      <c r="H411" s="183">
        <v>0.33200000000000002</v>
      </c>
    </row>
    <row r="412" spans="2:8" x14ac:dyDescent="0.2">
      <c r="B412" s="151" t="s">
        <v>413</v>
      </c>
      <c r="C412" s="151" t="s">
        <v>169</v>
      </c>
      <c r="D412" s="152" t="s">
        <v>57</v>
      </c>
      <c r="E412" s="152">
        <v>2010</v>
      </c>
      <c r="F412" s="158">
        <v>2011</v>
      </c>
      <c r="G412" s="183"/>
      <c r="H412" s="183">
        <v>0.74199999999999999</v>
      </c>
    </row>
    <row r="413" spans="2:8" x14ac:dyDescent="0.2">
      <c r="B413" s="151" t="s">
        <v>414</v>
      </c>
      <c r="C413" s="151" t="s">
        <v>169</v>
      </c>
      <c r="D413" s="152" t="s">
        <v>57</v>
      </c>
      <c r="E413" s="152">
        <v>2010</v>
      </c>
      <c r="F413" s="158">
        <v>2012</v>
      </c>
      <c r="G413" s="183"/>
      <c r="H413" s="183">
        <v>0.59399999999999997</v>
      </c>
    </row>
    <row r="414" spans="2:8" x14ac:dyDescent="0.2">
      <c r="B414" s="151" t="s">
        <v>206</v>
      </c>
      <c r="C414" s="151" t="s">
        <v>169</v>
      </c>
      <c r="D414" s="152" t="s">
        <v>57</v>
      </c>
      <c r="E414" s="152">
        <v>2010</v>
      </c>
      <c r="F414" s="158">
        <v>2013</v>
      </c>
      <c r="G414" s="183"/>
      <c r="H414" s="183"/>
    </row>
    <row r="415" spans="2:8" x14ac:dyDescent="0.2">
      <c r="B415" s="151" t="s">
        <v>415</v>
      </c>
      <c r="C415" s="151" t="s">
        <v>169</v>
      </c>
      <c r="D415" s="152" t="s">
        <v>57</v>
      </c>
      <c r="E415" s="152">
        <v>2011</v>
      </c>
      <c r="F415" s="158">
        <v>2012</v>
      </c>
      <c r="G415" s="183"/>
      <c r="H415" s="183">
        <v>0.73299999999999998</v>
      </c>
    </row>
    <row r="416" spans="2:8" x14ac:dyDescent="0.2">
      <c r="B416" s="151" t="s">
        <v>207</v>
      </c>
      <c r="C416" s="151" t="s">
        <v>169</v>
      </c>
      <c r="D416" s="152" t="s">
        <v>57</v>
      </c>
      <c r="E416" s="152">
        <v>2011</v>
      </c>
      <c r="F416" s="158">
        <v>2013</v>
      </c>
      <c r="G416" s="183"/>
      <c r="H416" s="183">
        <v>0.61199999999999999</v>
      </c>
    </row>
    <row r="417" spans="2:8" x14ac:dyDescent="0.2">
      <c r="B417" s="151" t="s">
        <v>208</v>
      </c>
      <c r="C417" s="151" t="s">
        <v>169</v>
      </c>
      <c r="D417" s="152" t="s">
        <v>57</v>
      </c>
      <c r="E417" s="152">
        <v>2012</v>
      </c>
      <c r="F417" s="158">
        <v>2013</v>
      </c>
      <c r="G417" s="183"/>
      <c r="H417" s="183">
        <v>0.73499999999999999</v>
      </c>
    </row>
    <row r="418" spans="2:8" x14ac:dyDescent="0.2">
      <c r="B418" s="202" t="s">
        <v>902</v>
      </c>
      <c r="C418" s="151" t="s">
        <v>169</v>
      </c>
      <c r="D418" s="152" t="s">
        <v>134</v>
      </c>
      <c r="E418" s="152">
        <v>2008</v>
      </c>
      <c r="F418" s="158">
        <v>2009</v>
      </c>
      <c r="G418" s="183"/>
      <c r="H418" s="183"/>
    </row>
    <row r="419" spans="2:8" x14ac:dyDescent="0.2">
      <c r="B419" s="202" t="s">
        <v>416</v>
      </c>
      <c r="C419" s="151" t="s">
        <v>169</v>
      </c>
      <c r="D419" s="152" t="s">
        <v>134</v>
      </c>
      <c r="E419" s="152">
        <v>2008</v>
      </c>
      <c r="F419" s="158">
        <v>2010</v>
      </c>
      <c r="G419" s="183"/>
      <c r="H419" s="183"/>
    </row>
    <row r="420" spans="2:8" x14ac:dyDescent="0.2">
      <c r="B420" s="202" t="s">
        <v>417</v>
      </c>
      <c r="C420" s="151" t="s">
        <v>169</v>
      </c>
      <c r="D420" s="152" t="s">
        <v>134</v>
      </c>
      <c r="E420" s="152">
        <v>2008</v>
      </c>
      <c r="F420" s="158">
        <v>2011</v>
      </c>
      <c r="G420" s="183"/>
      <c r="H420" s="183"/>
    </row>
    <row r="421" spans="2:8" x14ac:dyDescent="0.2">
      <c r="B421" s="202" t="s">
        <v>418</v>
      </c>
      <c r="C421" s="151" t="s">
        <v>169</v>
      </c>
      <c r="D421" s="152" t="s">
        <v>134</v>
      </c>
      <c r="E421" s="152">
        <v>2008</v>
      </c>
      <c r="F421" s="158">
        <v>2012</v>
      </c>
      <c r="G421" s="183"/>
      <c r="H421" s="183"/>
    </row>
    <row r="422" spans="2:8" x14ac:dyDescent="0.2">
      <c r="B422" s="202" t="s">
        <v>209</v>
      </c>
      <c r="C422" s="151" t="s">
        <v>169</v>
      </c>
      <c r="D422" s="152" t="s">
        <v>134</v>
      </c>
      <c r="E422" s="152">
        <v>2008</v>
      </c>
      <c r="F422" s="158">
        <v>2013</v>
      </c>
      <c r="G422" s="183"/>
      <c r="H422" s="183"/>
    </row>
    <row r="423" spans="2:8" x14ac:dyDescent="0.2">
      <c r="B423" s="151" t="s">
        <v>419</v>
      </c>
      <c r="C423" s="151" t="s">
        <v>169</v>
      </c>
      <c r="D423" s="152" t="s">
        <v>134</v>
      </c>
      <c r="E423" s="152">
        <v>2009</v>
      </c>
      <c r="F423" s="158">
        <v>2010</v>
      </c>
      <c r="G423" s="183"/>
      <c r="H423" s="183"/>
    </row>
    <row r="424" spans="2:8" x14ac:dyDescent="0.2">
      <c r="B424" s="151" t="s">
        <v>420</v>
      </c>
      <c r="C424" s="151" t="s">
        <v>169</v>
      </c>
      <c r="D424" s="152" t="s">
        <v>134</v>
      </c>
      <c r="E424" s="152">
        <v>2009</v>
      </c>
      <c r="F424" s="158">
        <v>2011</v>
      </c>
      <c r="G424" s="183"/>
      <c r="H424" s="183"/>
    </row>
    <row r="425" spans="2:8" x14ac:dyDescent="0.2">
      <c r="B425" s="151" t="s">
        <v>421</v>
      </c>
      <c r="C425" s="151" t="s">
        <v>169</v>
      </c>
      <c r="D425" s="152" t="s">
        <v>134</v>
      </c>
      <c r="E425" s="152">
        <v>2009</v>
      </c>
      <c r="F425" s="158">
        <v>2012</v>
      </c>
      <c r="G425" s="183"/>
      <c r="H425" s="183"/>
    </row>
    <row r="426" spans="2:8" x14ac:dyDescent="0.2">
      <c r="B426" s="151" t="s">
        <v>210</v>
      </c>
      <c r="C426" s="151" t="s">
        <v>169</v>
      </c>
      <c r="D426" s="152" t="s">
        <v>134</v>
      </c>
      <c r="E426" s="152">
        <v>2009</v>
      </c>
      <c r="F426" s="158">
        <v>2013</v>
      </c>
      <c r="G426" s="183"/>
      <c r="H426" s="183"/>
    </row>
    <row r="427" spans="2:8" x14ac:dyDescent="0.2">
      <c r="B427" s="151" t="s">
        <v>422</v>
      </c>
      <c r="C427" s="151" t="s">
        <v>169</v>
      </c>
      <c r="D427" s="152" t="s">
        <v>134</v>
      </c>
      <c r="E427" s="152">
        <v>2010</v>
      </c>
      <c r="F427" s="158">
        <v>2011</v>
      </c>
      <c r="G427" s="183"/>
      <c r="H427" s="183"/>
    </row>
    <row r="428" spans="2:8" x14ac:dyDescent="0.2">
      <c r="B428" s="151" t="s">
        <v>423</v>
      </c>
      <c r="C428" s="151" t="s">
        <v>169</v>
      </c>
      <c r="D428" s="152" t="s">
        <v>134</v>
      </c>
      <c r="E428" s="152">
        <v>2010</v>
      </c>
      <c r="F428" s="158">
        <v>2012</v>
      </c>
      <c r="G428" s="183"/>
      <c r="H428" s="183"/>
    </row>
    <row r="429" spans="2:8" x14ac:dyDescent="0.2">
      <c r="B429" s="151" t="s">
        <v>211</v>
      </c>
      <c r="C429" s="151" t="s">
        <v>169</v>
      </c>
      <c r="D429" s="152" t="s">
        <v>134</v>
      </c>
      <c r="E429" s="152">
        <v>2010</v>
      </c>
      <c r="F429" s="158">
        <v>2013</v>
      </c>
      <c r="G429" s="183"/>
      <c r="H429" s="183"/>
    </row>
    <row r="430" spans="2:8" x14ac:dyDescent="0.2">
      <c r="B430" s="151" t="s">
        <v>424</v>
      </c>
      <c r="C430" s="151" t="s">
        <v>169</v>
      </c>
      <c r="D430" s="152" t="s">
        <v>134</v>
      </c>
      <c r="E430" s="152">
        <v>2011</v>
      </c>
      <c r="F430" s="158">
        <v>2012</v>
      </c>
      <c r="G430" s="183"/>
      <c r="H430" s="183">
        <v>1</v>
      </c>
    </row>
    <row r="431" spans="2:8" x14ac:dyDescent="0.2">
      <c r="B431" s="151" t="s">
        <v>212</v>
      </c>
      <c r="C431" s="151" t="s">
        <v>169</v>
      </c>
      <c r="D431" s="152" t="s">
        <v>134</v>
      </c>
      <c r="E431" s="152">
        <v>2011</v>
      </c>
      <c r="F431" s="158">
        <v>2013</v>
      </c>
      <c r="G431" s="183"/>
      <c r="H431" s="183">
        <v>1</v>
      </c>
    </row>
    <row r="432" spans="2:8" x14ac:dyDescent="0.2">
      <c r="B432" s="151" t="s">
        <v>213</v>
      </c>
      <c r="C432" s="151" t="s">
        <v>169</v>
      </c>
      <c r="D432" s="152" t="s">
        <v>134</v>
      </c>
      <c r="E432" s="152">
        <v>2012</v>
      </c>
      <c r="F432" s="158">
        <v>2013</v>
      </c>
      <c r="G432" s="183"/>
      <c r="H432" s="183">
        <v>1</v>
      </c>
    </row>
    <row r="433" spans="2:8" x14ac:dyDescent="0.2">
      <c r="B433" s="151" t="s">
        <v>425</v>
      </c>
      <c r="C433" s="151" t="s">
        <v>169</v>
      </c>
      <c r="D433" s="152" t="s">
        <v>55</v>
      </c>
      <c r="E433" s="152">
        <v>2004</v>
      </c>
      <c r="F433" s="158">
        <v>2005</v>
      </c>
      <c r="G433" s="183"/>
      <c r="H433" s="183">
        <v>0.71399999999999997</v>
      </c>
    </row>
    <row r="434" spans="2:8" x14ac:dyDescent="0.2">
      <c r="B434" s="151" t="s">
        <v>426</v>
      </c>
      <c r="C434" s="151" t="s">
        <v>169</v>
      </c>
      <c r="D434" s="152" t="s">
        <v>55</v>
      </c>
      <c r="E434" s="152">
        <v>2004</v>
      </c>
      <c r="F434" s="158">
        <v>2006</v>
      </c>
      <c r="G434" s="183"/>
      <c r="H434" s="183">
        <v>0.57099999999999995</v>
      </c>
    </row>
    <row r="435" spans="2:8" x14ac:dyDescent="0.2">
      <c r="B435" s="151" t="s">
        <v>427</v>
      </c>
      <c r="C435" s="151" t="s">
        <v>169</v>
      </c>
      <c r="D435" s="152" t="s">
        <v>55</v>
      </c>
      <c r="E435" s="152">
        <v>2004</v>
      </c>
      <c r="F435" s="158">
        <v>2007</v>
      </c>
      <c r="G435" s="183"/>
      <c r="H435" s="183"/>
    </row>
    <row r="436" spans="2:8" x14ac:dyDescent="0.2">
      <c r="B436" s="151" t="s">
        <v>428</v>
      </c>
      <c r="C436" s="151" t="s">
        <v>169</v>
      </c>
      <c r="D436" s="152" t="s">
        <v>55</v>
      </c>
      <c r="E436" s="152">
        <v>2004</v>
      </c>
      <c r="F436" s="158">
        <v>2008</v>
      </c>
      <c r="G436" s="183">
        <v>0</v>
      </c>
      <c r="H436" s="183">
        <v>0.57099999999999995</v>
      </c>
    </row>
    <row r="437" spans="2:8" x14ac:dyDescent="0.2">
      <c r="B437" s="151" t="s">
        <v>429</v>
      </c>
      <c r="C437" s="151" t="s">
        <v>169</v>
      </c>
      <c r="D437" s="152" t="s">
        <v>55</v>
      </c>
      <c r="E437" s="152">
        <v>2004</v>
      </c>
      <c r="F437" s="158">
        <v>2009</v>
      </c>
      <c r="G437" s="183">
        <v>0.57099999999999995</v>
      </c>
      <c r="H437" s="183">
        <v>0</v>
      </c>
    </row>
    <row r="438" spans="2:8" x14ac:dyDescent="0.2">
      <c r="B438" s="151" t="s">
        <v>430</v>
      </c>
      <c r="C438" s="151" t="s">
        <v>169</v>
      </c>
      <c r="D438" s="152" t="s">
        <v>55</v>
      </c>
      <c r="E438" s="152">
        <v>2004</v>
      </c>
      <c r="F438" s="158">
        <v>2010</v>
      </c>
      <c r="G438" s="183">
        <v>0.57099999999999995</v>
      </c>
      <c r="H438" s="183">
        <v>0</v>
      </c>
    </row>
    <row r="439" spans="2:8" x14ac:dyDescent="0.2">
      <c r="B439" s="151" t="s">
        <v>431</v>
      </c>
      <c r="C439" s="151" t="s">
        <v>169</v>
      </c>
      <c r="D439" s="152" t="s">
        <v>55</v>
      </c>
      <c r="E439" s="152">
        <v>2004</v>
      </c>
      <c r="F439" s="158">
        <v>2011</v>
      </c>
      <c r="G439" s="183">
        <v>0.57099999999999995</v>
      </c>
      <c r="H439" s="183">
        <v>0</v>
      </c>
    </row>
    <row r="440" spans="2:8" x14ac:dyDescent="0.2">
      <c r="B440" s="151" t="s">
        <v>432</v>
      </c>
      <c r="C440" s="151" t="s">
        <v>169</v>
      </c>
      <c r="D440" s="152" t="s">
        <v>55</v>
      </c>
      <c r="E440" s="152">
        <v>2004</v>
      </c>
      <c r="F440" s="158">
        <v>2012</v>
      </c>
      <c r="G440" s="183">
        <v>0.57099999999999995</v>
      </c>
      <c r="H440" s="183">
        <v>0</v>
      </c>
    </row>
    <row r="441" spans="2:8" x14ac:dyDescent="0.2">
      <c r="B441" s="151" t="s">
        <v>214</v>
      </c>
      <c r="C441" s="151" t="s">
        <v>169</v>
      </c>
      <c r="D441" s="152" t="s">
        <v>55</v>
      </c>
      <c r="E441" s="152">
        <v>2004</v>
      </c>
      <c r="F441" s="158">
        <v>2013</v>
      </c>
      <c r="G441" s="183">
        <v>0.57099999999999995</v>
      </c>
      <c r="H441" s="183">
        <v>0</v>
      </c>
    </row>
    <row r="442" spans="2:8" x14ac:dyDescent="0.2">
      <c r="B442" s="151" t="s">
        <v>433</v>
      </c>
      <c r="C442" s="151" t="s">
        <v>169</v>
      </c>
      <c r="D442" s="152" t="s">
        <v>55</v>
      </c>
      <c r="E442" s="152">
        <v>2005</v>
      </c>
      <c r="F442" s="158">
        <v>2006</v>
      </c>
      <c r="G442" s="183"/>
      <c r="H442" s="183">
        <v>0.63600000000000001</v>
      </c>
    </row>
    <row r="443" spans="2:8" x14ac:dyDescent="0.2">
      <c r="B443" s="151" t="s">
        <v>434</v>
      </c>
      <c r="C443" s="151" t="s">
        <v>169</v>
      </c>
      <c r="D443" s="152" t="s">
        <v>55</v>
      </c>
      <c r="E443" s="152">
        <v>2005</v>
      </c>
      <c r="F443" s="158">
        <v>2007</v>
      </c>
      <c r="G443" s="183"/>
      <c r="H443" s="183">
        <v>0.45500000000000002</v>
      </c>
    </row>
    <row r="444" spans="2:8" x14ac:dyDescent="0.2">
      <c r="B444" s="151" t="s">
        <v>435</v>
      </c>
      <c r="C444" s="151" t="s">
        <v>169</v>
      </c>
      <c r="D444" s="152" t="s">
        <v>55</v>
      </c>
      <c r="E444" s="152">
        <v>2005</v>
      </c>
      <c r="F444" s="158">
        <v>2008</v>
      </c>
      <c r="G444" s="183"/>
      <c r="H444" s="183"/>
    </row>
    <row r="445" spans="2:8" x14ac:dyDescent="0.2">
      <c r="B445" s="151" t="s">
        <v>436</v>
      </c>
      <c r="C445" s="151" t="s">
        <v>169</v>
      </c>
      <c r="D445" s="152" t="s">
        <v>55</v>
      </c>
      <c r="E445" s="152">
        <v>2005</v>
      </c>
      <c r="F445" s="158">
        <v>2009</v>
      </c>
      <c r="G445" s="183">
        <v>0</v>
      </c>
      <c r="H445" s="183">
        <v>0.36399999999999999</v>
      </c>
    </row>
    <row r="446" spans="2:8" x14ac:dyDescent="0.2">
      <c r="B446" s="151" t="s">
        <v>437</v>
      </c>
      <c r="C446" s="151" t="s">
        <v>169</v>
      </c>
      <c r="D446" s="152" t="s">
        <v>55</v>
      </c>
      <c r="E446" s="152">
        <v>2005</v>
      </c>
      <c r="F446" s="158">
        <v>2010</v>
      </c>
      <c r="G446" s="183">
        <v>0.182</v>
      </c>
      <c r="H446" s="183">
        <v>0.182</v>
      </c>
    </row>
    <row r="447" spans="2:8" x14ac:dyDescent="0.2">
      <c r="B447" s="151" t="s">
        <v>438</v>
      </c>
      <c r="C447" s="151" t="s">
        <v>169</v>
      </c>
      <c r="D447" s="152" t="s">
        <v>55</v>
      </c>
      <c r="E447" s="152">
        <v>2005</v>
      </c>
      <c r="F447" s="158">
        <v>2011</v>
      </c>
      <c r="G447" s="183">
        <v>0.27300000000000002</v>
      </c>
      <c r="H447" s="183">
        <v>0</v>
      </c>
    </row>
    <row r="448" spans="2:8" x14ac:dyDescent="0.2">
      <c r="B448" s="151" t="s">
        <v>439</v>
      </c>
      <c r="C448" s="151" t="s">
        <v>169</v>
      </c>
      <c r="D448" s="152" t="s">
        <v>55</v>
      </c>
      <c r="E448" s="152">
        <v>2005</v>
      </c>
      <c r="F448" s="158">
        <v>2012</v>
      </c>
      <c r="G448" s="183">
        <v>0.27300000000000002</v>
      </c>
      <c r="H448" s="183">
        <v>0</v>
      </c>
    </row>
    <row r="449" spans="2:8" x14ac:dyDescent="0.2">
      <c r="B449" s="151" t="s">
        <v>215</v>
      </c>
      <c r="C449" s="151" t="s">
        <v>169</v>
      </c>
      <c r="D449" s="152" t="s">
        <v>55</v>
      </c>
      <c r="E449" s="152">
        <v>2005</v>
      </c>
      <c r="F449" s="158">
        <v>2013</v>
      </c>
      <c r="G449" s="183">
        <v>0.27300000000000002</v>
      </c>
      <c r="H449" s="183">
        <v>9.0999999999999998E-2</v>
      </c>
    </row>
    <row r="450" spans="2:8" x14ac:dyDescent="0.2">
      <c r="B450" s="151" t="s">
        <v>440</v>
      </c>
      <c r="C450" s="151" t="s">
        <v>169</v>
      </c>
      <c r="D450" s="152" t="s">
        <v>55</v>
      </c>
      <c r="E450" s="152">
        <v>2006</v>
      </c>
      <c r="F450" s="158">
        <v>2007</v>
      </c>
      <c r="G450" s="183"/>
      <c r="H450" s="183">
        <v>0.72199999999999998</v>
      </c>
    </row>
    <row r="451" spans="2:8" x14ac:dyDescent="0.2">
      <c r="B451" s="151" t="s">
        <v>441</v>
      </c>
      <c r="C451" s="151" t="s">
        <v>169</v>
      </c>
      <c r="D451" s="152" t="s">
        <v>55</v>
      </c>
      <c r="E451" s="152">
        <v>2006</v>
      </c>
      <c r="F451" s="158">
        <v>2008</v>
      </c>
      <c r="G451" s="183"/>
      <c r="H451" s="183">
        <v>0.38900000000000001</v>
      </c>
    </row>
    <row r="452" spans="2:8" x14ac:dyDescent="0.2">
      <c r="B452" s="151" t="s">
        <v>442</v>
      </c>
      <c r="C452" s="151" t="s">
        <v>169</v>
      </c>
      <c r="D452" s="152" t="s">
        <v>55</v>
      </c>
      <c r="E452" s="152">
        <v>2006</v>
      </c>
      <c r="F452" s="158">
        <v>2009</v>
      </c>
      <c r="G452" s="183"/>
      <c r="H452" s="183"/>
    </row>
    <row r="453" spans="2:8" x14ac:dyDescent="0.2">
      <c r="B453" s="151" t="s">
        <v>443</v>
      </c>
      <c r="C453" s="151" t="s">
        <v>169</v>
      </c>
      <c r="D453" s="152" t="s">
        <v>55</v>
      </c>
      <c r="E453" s="152">
        <v>2006</v>
      </c>
      <c r="F453" s="158">
        <v>2010</v>
      </c>
      <c r="G453" s="183">
        <v>0.111</v>
      </c>
      <c r="H453" s="183">
        <v>0.16700000000000001</v>
      </c>
    </row>
    <row r="454" spans="2:8" x14ac:dyDescent="0.2">
      <c r="B454" s="151" t="s">
        <v>444</v>
      </c>
      <c r="C454" s="151" t="s">
        <v>169</v>
      </c>
      <c r="D454" s="152" t="s">
        <v>55</v>
      </c>
      <c r="E454" s="152">
        <v>2006</v>
      </c>
      <c r="F454" s="158">
        <v>2011</v>
      </c>
      <c r="G454" s="183">
        <v>0.16700000000000001</v>
      </c>
      <c r="H454" s="183">
        <v>0.111</v>
      </c>
    </row>
    <row r="455" spans="2:8" x14ac:dyDescent="0.2">
      <c r="B455" s="151" t="s">
        <v>445</v>
      </c>
      <c r="C455" s="151" t="s">
        <v>169</v>
      </c>
      <c r="D455" s="152" t="s">
        <v>55</v>
      </c>
      <c r="E455" s="152">
        <v>2006</v>
      </c>
      <c r="F455" s="158">
        <v>2012</v>
      </c>
      <c r="G455" s="183">
        <v>0.222</v>
      </c>
      <c r="H455" s="183">
        <v>0</v>
      </c>
    </row>
    <row r="456" spans="2:8" x14ac:dyDescent="0.2">
      <c r="B456" s="151" t="s">
        <v>216</v>
      </c>
      <c r="C456" s="151" t="s">
        <v>169</v>
      </c>
      <c r="D456" s="152" t="s">
        <v>55</v>
      </c>
      <c r="E456" s="152">
        <v>2006</v>
      </c>
      <c r="F456" s="158">
        <v>2013</v>
      </c>
      <c r="G456" s="183">
        <v>0.27800000000000002</v>
      </c>
      <c r="H456" s="183">
        <v>0</v>
      </c>
    </row>
    <row r="457" spans="2:8" x14ac:dyDescent="0.2">
      <c r="B457" s="151" t="s">
        <v>446</v>
      </c>
      <c r="C457" s="151" t="s">
        <v>169</v>
      </c>
      <c r="D457" s="152" t="s">
        <v>55</v>
      </c>
      <c r="E457" s="152">
        <v>2007</v>
      </c>
      <c r="F457" s="158">
        <v>2008</v>
      </c>
      <c r="G457" s="183"/>
      <c r="H457" s="183">
        <v>0.61499999999999999</v>
      </c>
    </row>
    <row r="458" spans="2:8" x14ac:dyDescent="0.2">
      <c r="B458" s="151" t="s">
        <v>447</v>
      </c>
      <c r="C458" s="151" t="s">
        <v>169</v>
      </c>
      <c r="D458" s="152" t="s">
        <v>55</v>
      </c>
      <c r="E458" s="152">
        <v>2007</v>
      </c>
      <c r="F458" s="158">
        <v>2009</v>
      </c>
      <c r="G458" s="183"/>
      <c r="H458" s="183">
        <v>0.46200000000000002</v>
      </c>
    </row>
    <row r="459" spans="2:8" x14ac:dyDescent="0.2">
      <c r="B459" s="151" t="s">
        <v>448</v>
      </c>
      <c r="C459" s="151" t="s">
        <v>169</v>
      </c>
      <c r="D459" s="152" t="s">
        <v>55</v>
      </c>
      <c r="E459" s="152">
        <v>2007</v>
      </c>
      <c r="F459" s="158">
        <v>2010</v>
      </c>
      <c r="G459" s="183"/>
      <c r="H459" s="183"/>
    </row>
    <row r="460" spans="2:8" x14ac:dyDescent="0.2">
      <c r="B460" s="151" t="s">
        <v>449</v>
      </c>
      <c r="C460" s="151" t="s">
        <v>169</v>
      </c>
      <c r="D460" s="152" t="s">
        <v>55</v>
      </c>
      <c r="E460" s="152">
        <v>2007</v>
      </c>
      <c r="F460" s="158">
        <v>2011</v>
      </c>
      <c r="G460" s="183">
        <v>0.154</v>
      </c>
      <c r="H460" s="183">
        <v>0.154</v>
      </c>
    </row>
    <row r="461" spans="2:8" x14ac:dyDescent="0.2">
      <c r="B461" s="151" t="s">
        <v>450</v>
      </c>
      <c r="C461" s="151" t="s">
        <v>169</v>
      </c>
      <c r="D461" s="152" t="s">
        <v>55</v>
      </c>
      <c r="E461" s="152">
        <v>2007</v>
      </c>
      <c r="F461" s="158">
        <v>2012</v>
      </c>
      <c r="G461" s="183">
        <v>0.23100000000000001</v>
      </c>
      <c r="H461" s="183">
        <v>0</v>
      </c>
    </row>
    <row r="462" spans="2:8" x14ac:dyDescent="0.2">
      <c r="B462" s="151" t="s">
        <v>217</v>
      </c>
      <c r="C462" s="151" t="s">
        <v>169</v>
      </c>
      <c r="D462" s="152" t="s">
        <v>55</v>
      </c>
      <c r="E462" s="152">
        <v>2007</v>
      </c>
      <c r="F462" s="158">
        <v>2013</v>
      </c>
      <c r="G462" s="183">
        <v>0.23100000000000001</v>
      </c>
      <c r="H462" s="183">
        <v>0.154</v>
      </c>
    </row>
    <row r="463" spans="2:8" x14ac:dyDescent="0.2">
      <c r="B463" s="151" t="s">
        <v>451</v>
      </c>
      <c r="C463" s="151" t="s">
        <v>169</v>
      </c>
      <c r="D463" s="152" t="s">
        <v>55</v>
      </c>
      <c r="E463" s="152">
        <v>2008</v>
      </c>
      <c r="F463" s="158">
        <v>2009</v>
      </c>
      <c r="G463" s="183"/>
      <c r="H463" s="183">
        <v>0.95499999999999996</v>
      </c>
    </row>
    <row r="464" spans="2:8" x14ac:dyDescent="0.2">
      <c r="B464" s="151" t="s">
        <v>452</v>
      </c>
      <c r="C464" s="151" t="s">
        <v>169</v>
      </c>
      <c r="D464" s="152" t="s">
        <v>55</v>
      </c>
      <c r="E464" s="152">
        <v>2008</v>
      </c>
      <c r="F464" s="158">
        <v>2010</v>
      </c>
      <c r="G464" s="183"/>
      <c r="H464" s="183">
        <v>0.72699999999999998</v>
      </c>
    </row>
    <row r="465" spans="2:8" x14ac:dyDescent="0.2">
      <c r="B465" s="151" t="s">
        <v>453</v>
      </c>
      <c r="C465" s="151" t="s">
        <v>169</v>
      </c>
      <c r="D465" s="152" t="s">
        <v>55</v>
      </c>
      <c r="E465" s="152">
        <v>2008</v>
      </c>
      <c r="F465" s="158">
        <v>2011</v>
      </c>
      <c r="G465" s="183"/>
      <c r="H465" s="183"/>
    </row>
    <row r="466" spans="2:8" x14ac:dyDescent="0.2">
      <c r="B466" s="151" t="s">
        <v>454</v>
      </c>
      <c r="C466" s="151" t="s">
        <v>169</v>
      </c>
      <c r="D466" s="152" t="s">
        <v>55</v>
      </c>
      <c r="E466" s="152">
        <v>2008</v>
      </c>
      <c r="F466" s="158">
        <v>2012</v>
      </c>
      <c r="G466" s="183">
        <v>9.0999999999999998E-2</v>
      </c>
      <c r="H466" s="183">
        <v>0.40899999999999997</v>
      </c>
    </row>
    <row r="467" spans="2:8" x14ac:dyDescent="0.2">
      <c r="B467" s="151" t="s">
        <v>218</v>
      </c>
      <c r="C467" s="151" t="s">
        <v>169</v>
      </c>
      <c r="D467" s="152" t="s">
        <v>55</v>
      </c>
      <c r="E467" s="152">
        <v>2008</v>
      </c>
      <c r="F467" s="158">
        <v>2013</v>
      </c>
      <c r="G467" s="183">
        <v>0.36399999999999999</v>
      </c>
      <c r="H467" s="183">
        <v>0.13600000000000001</v>
      </c>
    </row>
    <row r="468" spans="2:8" x14ac:dyDescent="0.2">
      <c r="B468" s="151" t="s">
        <v>455</v>
      </c>
      <c r="C468" s="151" t="s">
        <v>169</v>
      </c>
      <c r="D468" s="152" t="s">
        <v>55</v>
      </c>
      <c r="E468" s="152">
        <v>2009</v>
      </c>
      <c r="F468" s="158">
        <v>2010</v>
      </c>
      <c r="G468" s="183"/>
      <c r="H468" s="183">
        <v>0.68799999999999994</v>
      </c>
    </row>
    <row r="469" spans="2:8" x14ac:dyDescent="0.2">
      <c r="B469" s="151" t="s">
        <v>456</v>
      </c>
      <c r="C469" s="151" t="s">
        <v>169</v>
      </c>
      <c r="D469" s="152" t="s">
        <v>55</v>
      </c>
      <c r="E469" s="152">
        <v>2009</v>
      </c>
      <c r="F469" s="158">
        <v>2011</v>
      </c>
      <c r="G469" s="183"/>
      <c r="H469" s="183">
        <v>0.5</v>
      </c>
    </row>
    <row r="470" spans="2:8" x14ac:dyDescent="0.2">
      <c r="B470" s="151" t="s">
        <v>457</v>
      </c>
      <c r="C470" s="151" t="s">
        <v>169</v>
      </c>
      <c r="D470" s="152" t="s">
        <v>55</v>
      </c>
      <c r="E470" s="152">
        <v>2009</v>
      </c>
      <c r="F470" s="158">
        <v>2012</v>
      </c>
      <c r="G470" s="183"/>
      <c r="H470" s="183"/>
    </row>
    <row r="471" spans="2:8" x14ac:dyDescent="0.2">
      <c r="B471" s="151" t="s">
        <v>219</v>
      </c>
      <c r="C471" s="151" t="s">
        <v>169</v>
      </c>
      <c r="D471" s="152" t="s">
        <v>55</v>
      </c>
      <c r="E471" s="152">
        <v>2009</v>
      </c>
      <c r="F471" s="158">
        <v>2013</v>
      </c>
      <c r="G471" s="183">
        <v>0.125</v>
      </c>
      <c r="H471" s="183">
        <v>0.313</v>
      </c>
    </row>
    <row r="472" spans="2:8" x14ac:dyDescent="0.2">
      <c r="B472" s="151" t="s">
        <v>458</v>
      </c>
      <c r="C472" s="151" t="s">
        <v>169</v>
      </c>
      <c r="D472" s="152" t="s">
        <v>55</v>
      </c>
      <c r="E472" s="152">
        <v>2010</v>
      </c>
      <c r="F472" s="158">
        <v>2011</v>
      </c>
      <c r="G472" s="183"/>
      <c r="H472" s="183">
        <v>0.76200000000000001</v>
      </c>
    </row>
    <row r="473" spans="2:8" x14ac:dyDescent="0.2">
      <c r="B473" s="151" t="s">
        <v>459</v>
      </c>
      <c r="C473" s="151" t="s">
        <v>169</v>
      </c>
      <c r="D473" s="152" t="s">
        <v>55</v>
      </c>
      <c r="E473" s="152">
        <v>2010</v>
      </c>
      <c r="F473" s="158">
        <v>2012</v>
      </c>
      <c r="G473" s="183"/>
      <c r="H473" s="183">
        <v>0.66700000000000004</v>
      </c>
    </row>
    <row r="474" spans="2:8" x14ac:dyDescent="0.2">
      <c r="B474" s="151" t="s">
        <v>220</v>
      </c>
      <c r="C474" s="151" t="s">
        <v>169</v>
      </c>
      <c r="D474" s="152" t="s">
        <v>55</v>
      </c>
      <c r="E474" s="152">
        <v>2010</v>
      </c>
      <c r="F474" s="158">
        <v>2013</v>
      </c>
      <c r="G474" s="183"/>
      <c r="H474" s="183"/>
    </row>
    <row r="475" spans="2:8" x14ac:dyDescent="0.2">
      <c r="B475" s="151" t="s">
        <v>460</v>
      </c>
      <c r="C475" s="151" t="s">
        <v>169</v>
      </c>
      <c r="D475" s="152" t="s">
        <v>55</v>
      </c>
      <c r="E475" s="152">
        <v>2011</v>
      </c>
      <c r="F475" s="158">
        <v>2012</v>
      </c>
      <c r="G475" s="183"/>
      <c r="H475" s="183">
        <v>0.73699999999999999</v>
      </c>
    </row>
    <row r="476" spans="2:8" x14ac:dyDescent="0.2">
      <c r="B476" s="151" t="s">
        <v>221</v>
      </c>
      <c r="C476" s="151" t="s">
        <v>169</v>
      </c>
      <c r="D476" s="152" t="s">
        <v>55</v>
      </c>
      <c r="E476" s="152">
        <v>2011</v>
      </c>
      <c r="F476" s="158">
        <v>2013</v>
      </c>
      <c r="G476" s="183"/>
      <c r="H476" s="183">
        <v>0.73699999999999999</v>
      </c>
    </row>
    <row r="477" spans="2:8" x14ac:dyDescent="0.2">
      <c r="B477" s="151" t="s">
        <v>222</v>
      </c>
      <c r="C477" s="151" t="s">
        <v>169</v>
      </c>
      <c r="D477" s="152" t="s">
        <v>55</v>
      </c>
      <c r="E477" s="152">
        <v>2012</v>
      </c>
      <c r="F477" s="158">
        <v>2013</v>
      </c>
      <c r="G477" s="183"/>
      <c r="H477" s="183">
        <v>0.64300000000000002</v>
      </c>
    </row>
    <row r="478" spans="2:8" x14ac:dyDescent="0.2">
      <c r="B478" s="151" t="s">
        <v>461</v>
      </c>
      <c r="C478" s="151" t="s">
        <v>169</v>
      </c>
      <c r="D478" s="152" t="s">
        <v>54</v>
      </c>
      <c r="E478" s="152">
        <v>2004</v>
      </c>
      <c r="F478" s="158">
        <v>2005</v>
      </c>
      <c r="G478" s="183"/>
      <c r="H478" s="183">
        <v>0.61499999999999999</v>
      </c>
    </row>
    <row r="479" spans="2:8" x14ac:dyDescent="0.2">
      <c r="B479" s="151" t="s">
        <v>462</v>
      </c>
      <c r="C479" s="151" t="s">
        <v>169</v>
      </c>
      <c r="D479" s="152" t="s">
        <v>54</v>
      </c>
      <c r="E479" s="152">
        <v>2004</v>
      </c>
      <c r="F479" s="158">
        <v>2006</v>
      </c>
      <c r="G479" s="183"/>
      <c r="H479" s="183">
        <v>0.52500000000000002</v>
      </c>
    </row>
    <row r="480" spans="2:8" x14ac:dyDescent="0.2">
      <c r="B480" s="151" t="s">
        <v>463</v>
      </c>
      <c r="C480" s="151" t="s">
        <v>169</v>
      </c>
      <c r="D480" s="152" t="s">
        <v>54</v>
      </c>
      <c r="E480" s="152">
        <v>2004</v>
      </c>
      <c r="F480" s="158">
        <v>2007</v>
      </c>
      <c r="G480" s="183"/>
      <c r="H480" s="183"/>
    </row>
    <row r="481" spans="2:8" x14ac:dyDescent="0.2">
      <c r="B481" s="151" t="s">
        <v>464</v>
      </c>
      <c r="C481" s="151" t="s">
        <v>169</v>
      </c>
      <c r="D481" s="152" t="s">
        <v>54</v>
      </c>
      <c r="E481" s="152">
        <v>2004</v>
      </c>
      <c r="F481" s="158">
        <v>2008</v>
      </c>
      <c r="G481" s="183">
        <v>7.0000000000000007E-2</v>
      </c>
      <c r="H481" s="183">
        <v>0.251</v>
      </c>
    </row>
    <row r="482" spans="2:8" x14ac:dyDescent="0.2">
      <c r="B482" s="151" t="s">
        <v>465</v>
      </c>
      <c r="C482" s="151" t="s">
        <v>169</v>
      </c>
      <c r="D482" s="152" t="s">
        <v>54</v>
      </c>
      <c r="E482" s="152">
        <v>2004</v>
      </c>
      <c r="F482" s="158">
        <v>2009</v>
      </c>
      <c r="G482" s="183">
        <v>0.19900000000000001</v>
      </c>
      <c r="H482" s="183">
        <v>9.8000000000000004E-2</v>
      </c>
    </row>
    <row r="483" spans="2:8" x14ac:dyDescent="0.2">
      <c r="B483" s="151" t="s">
        <v>466</v>
      </c>
      <c r="C483" s="151" t="s">
        <v>169</v>
      </c>
      <c r="D483" s="152" t="s">
        <v>54</v>
      </c>
      <c r="E483" s="152">
        <v>2004</v>
      </c>
      <c r="F483" s="158">
        <v>2010</v>
      </c>
      <c r="G483" s="183">
        <v>0.24</v>
      </c>
      <c r="H483" s="183">
        <v>5.3999999999999999E-2</v>
      </c>
    </row>
    <row r="484" spans="2:8" x14ac:dyDescent="0.2">
      <c r="B484" s="151" t="s">
        <v>467</v>
      </c>
      <c r="C484" s="151" t="s">
        <v>169</v>
      </c>
      <c r="D484" s="152" t="s">
        <v>54</v>
      </c>
      <c r="E484" s="152">
        <v>2004</v>
      </c>
      <c r="F484" s="158">
        <v>2011</v>
      </c>
      <c r="G484" s="183">
        <v>0.26600000000000001</v>
      </c>
      <c r="H484" s="183">
        <v>2.3E-2</v>
      </c>
    </row>
    <row r="485" spans="2:8" x14ac:dyDescent="0.2">
      <c r="B485" s="151" t="s">
        <v>468</v>
      </c>
      <c r="C485" s="151" t="s">
        <v>169</v>
      </c>
      <c r="D485" s="152" t="s">
        <v>54</v>
      </c>
      <c r="E485" s="152">
        <v>2004</v>
      </c>
      <c r="F485" s="158">
        <v>2012</v>
      </c>
      <c r="G485" s="183">
        <v>0.28199999999999997</v>
      </c>
      <c r="H485" s="183">
        <v>8.0000000000000002E-3</v>
      </c>
    </row>
    <row r="486" spans="2:8" x14ac:dyDescent="0.2">
      <c r="B486" s="151" t="s">
        <v>223</v>
      </c>
      <c r="C486" s="151" t="s">
        <v>169</v>
      </c>
      <c r="D486" s="152" t="s">
        <v>54</v>
      </c>
      <c r="E486" s="152">
        <v>2004</v>
      </c>
      <c r="F486" s="158">
        <v>2013</v>
      </c>
      <c r="G486" s="183">
        <v>0.28699999999999998</v>
      </c>
      <c r="H486" s="183">
        <v>2.5999999999999999E-2</v>
      </c>
    </row>
    <row r="487" spans="2:8" x14ac:dyDescent="0.2">
      <c r="B487" s="151" t="s">
        <v>469</v>
      </c>
      <c r="C487" s="151" t="s">
        <v>169</v>
      </c>
      <c r="D487" s="152" t="s">
        <v>54</v>
      </c>
      <c r="E487" s="152">
        <v>2005</v>
      </c>
      <c r="F487" s="158">
        <v>2006</v>
      </c>
      <c r="G487" s="183"/>
      <c r="H487" s="183">
        <v>0.61199999999999999</v>
      </c>
    </row>
    <row r="488" spans="2:8" x14ac:dyDescent="0.2">
      <c r="B488" s="151" t="s">
        <v>470</v>
      </c>
      <c r="C488" s="151" t="s">
        <v>169</v>
      </c>
      <c r="D488" s="152" t="s">
        <v>54</v>
      </c>
      <c r="E488" s="152">
        <v>2005</v>
      </c>
      <c r="F488" s="158">
        <v>2007</v>
      </c>
      <c r="G488" s="183"/>
      <c r="H488" s="183">
        <v>0.48499999999999999</v>
      </c>
    </row>
    <row r="489" spans="2:8" x14ac:dyDescent="0.2">
      <c r="B489" s="151" t="s">
        <v>471</v>
      </c>
      <c r="C489" s="151" t="s">
        <v>169</v>
      </c>
      <c r="D489" s="152" t="s">
        <v>54</v>
      </c>
      <c r="E489" s="152">
        <v>2005</v>
      </c>
      <c r="F489" s="158">
        <v>2008</v>
      </c>
      <c r="G489" s="183"/>
      <c r="H489" s="183"/>
    </row>
    <row r="490" spans="2:8" x14ac:dyDescent="0.2">
      <c r="B490" s="151" t="s">
        <v>472</v>
      </c>
      <c r="C490" s="151" t="s">
        <v>169</v>
      </c>
      <c r="D490" s="152" t="s">
        <v>54</v>
      </c>
      <c r="E490" s="152">
        <v>2005</v>
      </c>
      <c r="F490" s="158">
        <v>2009</v>
      </c>
      <c r="G490" s="183">
        <v>7.9000000000000001E-2</v>
      </c>
      <c r="H490" s="183">
        <v>0.25</v>
      </c>
    </row>
    <row r="491" spans="2:8" x14ac:dyDescent="0.2">
      <c r="B491" s="151" t="s">
        <v>473</v>
      </c>
      <c r="C491" s="151" t="s">
        <v>169</v>
      </c>
      <c r="D491" s="152" t="s">
        <v>54</v>
      </c>
      <c r="E491" s="152">
        <v>2005</v>
      </c>
      <c r="F491" s="158">
        <v>2010</v>
      </c>
      <c r="G491" s="183">
        <v>0.219</v>
      </c>
      <c r="H491" s="183">
        <v>0.11</v>
      </c>
    </row>
    <row r="492" spans="2:8" x14ac:dyDescent="0.2">
      <c r="B492" s="151" t="s">
        <v>474</v>
      </c>
      <c r="C492" s="151" t="s">
        <v>169</v>
      </c>
      <c r="D492" s="152" t="s">
        <v>54</v>
      </c>
      <c r="E492" s="152">
        <v>2005</v>
      </c>
      <c r="F492" s="158">
        <v>2011</v>
      </c>
      <c r="G492" s="183">
        <v>0.27400000000000002</v>
      </c>
      <c r="H492" s="183">
        <v>5.5E-2</v>
      </c>
    </row>
    <row r="493" spans="2:8" x14ac:dyDescent="0.2">
      <c r="B493" s="151" t="s">
        <v>475</v>
      </c>
      <c r="C493" s="151" t="s">
        <v>169</v>
      </c>
      <c r="D493" s="152" t="s">
        <v>54</v>
      </c>
      <c r="E493" s="152">
        <v>2005</v>
      </c>
      <c r="F493" s="158">
        <v>2012</v>
      </c>
      <c r="G493" s="183">
        <v>0.3</v>
      </c>
      <c r="H493" s="183">
        <v>3.6999999999999998E-2</v>
      </c>
    </row>
    <row r="494" spans="2:8" x14ac:dyDescent="0.2">
      <c r="B494" s="151" t="s">
        <v>224</v>
      </c>
      <c r="C494" s="151" t="s">
        <v>169</v>
      </c>
      <c r="D494" s="152" t="s">
        <v>54</v>
      </c>
      <c r="E494" s="152">
        <v>2005</v>
      </c>
      <c r="F494" s="158">
        <v>2013</v>
      </c>
      <c r="G494" s="183">
        <v>0.32</v>
      </c>
      <c r="H494" s="183">
        <v>2.4E-2</v>
      </c>
    </row>
    <row r="495" spans="2:8" x14ac:dyDescent="0.2">
      <c r="B495" s="151" t="s">
        <v>476</v>
      </c>
      <c r="C495" s="151" t="s">
        <v>169</v>
      </c>
      <c r="D495" s="152" t="s">
        <v>54</v>
      </c>
      <c r="E495" s="152">
        <v>2006</v>
      </c>
      <c r="F495" s="158">
        <v>2007</v>
      </c>
      <c r="G495" s="183"/>
      <c r="H495" s="183">
        <v>0.54100000000000004</v>
      </c>
    </row>
    <row r="496" spans="2:8" x14ac:dyDescent="0.2">
      <c r="B496" s="151" t="s">
        <v>477</v>
      </c>
      <c r="C496" s="151" t="s">
        <v>169</v>
      </c>
      <c r="D496" s="152" t="s">
        <v>54</v>
      </c>
      <c r="E496" s="152">
        <v>2006</v>
      </c>
      <c r="F496" s="158">
        <v>2008</v>
      </c>
      <c r="G496" s="183"/>
      <c r="H496" s="183">
        <v>0.38100000000000001</v>
      </c>
    </row>
    <row r="497" spans="2:8" x14ac:dyDescent="0.2">
      <c r="B497" s="151" t="s">
        <v>478</v>
      </c>
      <c r="C497" s="151" t="s">
        <v>169</v>
      </c>
      <c r="D497" s="152" t="s">
        <v>54</v>
      </c>
      <c r="E497" s="152">
        <v>2006</v>
      </c>
      <c r="F497" s="158">
        <v>2009</v>
      </c>
      <c r="G497" s="183"/>
      <c r="H497" s="183"/>
    </row>
    <row r="498" spans="2:8" x14ac:dyDescent="0.2">
      <c r="B498" s="151" t="s">
        <v>479</v>
      </c>
      <c r="C498" s="151" t="s">
        <v>169</v>
      </c>
      <c r="D498" s="152" t="s">
        <v>54</v>
      </c>
      <c r="E498" s="152">
        <v>2006</v>
      </c>
      <c r="F498" s="158">
        <v>2010</v>
      </c>
      <c r="G498" s="183">
        <v>5.8999999999999997E-2</v>
      </c>
      <c r="H498" s="183">
        <v>0.24299999999999999</v>
      </c>
    </row>
    <row r="499" spans="2:8" x14ac:dyDescent="0.2">
      <c r="B499" s="151" t="s">
        <v>480</v>
      </c>
      <c r="C499" s="151" t="s">
        <v>169</v>
      </c>
      <c r="D499" s="152" t="s">
        <v>54</v>
      </c>
      <c r="E499" s="152">
        <v>2006</v>
      </c>
      <c r="F499" s="158">
        <v>2011</v>
      </c>
      <c r="G499" s="183">
        <v>0.191</v>
      </c>
      <c r="H499" s="183">
        <v>7.3999999999999996E-2</v>
      </c>
    </row>
    <row r="500" spans="2:8" x14ac:dyDescent="0.2">
      <c r="B500" s="151" t="s">
        <v>481</v>
      </c>
      <c r="C500" s="151" t="s">
        <v>169</v>
      </c>
      <c r="D500" s="152" t="s">
        <v>54</v>
      </c>
      <c r="E500" s="152">
        <v>2006</v>
      </c>
      <c r="F500" s="158">
        <v>2012</v>
      </c>
      <c r="G500" s="183">
        <v>0.22700000000000001</v>
      </c>
      <c r="H500" s="183">
        <v>2.3E-2</v>
      </c>
    </row>
    <row r="501" spans="2:8" x14ac:dyDescent="0.2">
      <c r="B501" s="151" t="s">
        <v>225</v>
      </c>
      <c r="C501" s="151" t="s">
        <v>169</v>
      </c>
      <c r="D501" s="152" t="s">
        <v>54</v>
      </c>
      <c r="E501" s="152">
        <v>2006</v>
      </c>
      <c r="F501" s="158">
        <v>2013</v>
      </c>
      <c r="G501" s="183">
        <v>0.23899999999999999</v>
      </c>
      <c r="H501" s="183">
        <v>0.02</v>
      </c>
    </row>
    <row r="502" spans="2:8" x14ac:dyDescent="0.2">
      <c r="B502" s="151" t="s">
        <v>482</v>
      </c>
      <c r="C502" s="151" t="s">
        <v>169</v>
      </c>
      <c r="D502" s="152" t="s">
        <v>54</v>
      </c>
      <c r="E502" s="152">
        <v>2007</v>
      </c>
      <c r="F502" s="158">
        <v>2008</v>
      </c>
      <c r="G502" s="183"/>
      <c r="H502" s="183">
        <v>0.61499999999999999</v>
      </c>
    </row>
    <row r="503" spans="2:8" x14ac:dyDescent="0.2">
      <c r="B503" s="151" t="s">
        <v>483</v>
      </c>
      <c r="C503" s="151" t="s">
        <v>169</v>
      </c>
      <c r="D503" s="152" t="s">
        <v>54</v>
      </c>
      <c r="E503" s="152">
        <v>2007</v>
      </c>
      <c r="F503" s="158">
        <v>2009</v>
      </c>
      <c r="G503" s="183"/>
      <c r="H503" s="183">
        <v>0.39100000000000001</v>
      </c>
    </row>
    <row r="504" spans="2:8" x14ac:dyDescent="0.2">
      <c r="B504" s="151" t="s">
        <v>484</v>
      </c>
      <c r="C504" s="151" t="s">
        <v>169</v>
      </c>
      <c r="D504" s="152" t="s">
        <v>54</v>
      </c>
      <c r="E504" s="152">
        <v>2007</v>
      </c>
      <c r="F504" s="158">
        <v>2010</v>
      </c>
      <c r="G504" s="183"/>
      <c r="H504" s="183"/>
    </row>
    <row r="505" spans="2:8" x14ac:dyDescent="0.2">
      <c r="B505" s="151" t="s">
        <v>485</v>
      </c>
      <c r="C505" s="151" t="s">
        <v>169</v>
      </c>
      <c r="D505" s="152" t="s">
        <v>54</v>
      </c>
      <c r="E505" s="152">
        <v>2007</v>
      </c>
      <c r="F505" s="158">
        <v>2011</v>
      </c>
      <c r="G505" s="183">
        <v>6.7000000000000004E-2</v>
      </c>
      <c r="H505" s="183">
        <v>0.26200000000000001</v>
      </c>
    </row>
    <row r="506" spans="2:8" x14ac:dyDescent="0.2">
      <c r="B506" s="151" t="s">
        <v>486</v>
      </c>
      <c r="C506" s="151" t="s">
        <v>169</v>
      </c>
      <c r="D506" s="152" t="s">
        <v>54</v>
      </c>
      <c r="E506" s="152">
        <v>2007</v>
      </c>
      <c r="F506" s="158">
        <v>2012</v>
      </c>
      <c r="G506" s="183">
        <v>0.191</v>
      </c>
      <c r="H506" s="183">
        <v>0.08</v>
      </c>
    </row>
    <row r="507" spans="2:8" x14ac:dyDescent="0.2">
      <c r="B507" s="151" t="s">
        <v>226</v>
      </c>
      <c r="C507" s="151" t="s">
        <v>169</v>
      </c>
      <c r="D507" s="152" t="s">
        <v>54</v>
      </c>
      <c r="E507" s="152">
        <v>2007</v>
      </c>
      <c r="F507" s="158">
        <v>2013</v>
      </c>
      <c r="G507" s="183">
        <v>0.23899999999999999</v>
      </c>
      <c r="H507" s="183">
        <v>6.5000000000000002E-2</v>
      </c>
    </row>
    <row r="508" spans="2:8" x14ac:dyDescent="0.2">
      <c r="B508" s="151" t="s">
        <v>487</v>
      </c>
      <c r="C508" s="151" t="s">
        <v>169</v>
      </c>
      <c r="D508" s="152" t="s">
        <v>54</v>
      </c>
      <c r="E508" s="152">
        <v>2008</v>
      </c>
      <c r="F508" s="158">
        <v>2009</v>
      </c>
      <c r="G508" s="183"/>
      <c r="H508" s="183">
        <v>0.66400000000000003</v>
      </c>
    </row>
    <row r="509" spans="2:8" x14ac:dyDescent="0.2">
      <c r="B509" s="151" t="s">
        <v>488</v>
      </c>
      <c r="C509" s="151" t="s">
        <v>169</v>
      </c>
      <c r="D509" s="152" t="s">
        <v>54</v>
      </c>
      <c r="E509" s="152">
        <v>2008</v>
      </c>
      <c r="F509" s="158">
        <v>2010</v>
      </c>
      <c r="G509" s="183"/>
      <c r="H509" s="183">
        <v>0.51700000000000002</v>
      </c>
    </row>
    <row r="510" spans="2:8" x14ac:dyDescent="0.2">
      <c r="B510" s="151" t="s">
        <v>489</v>
      </c>
      <c r="C510" s="151" t="s">
        <v>169</v>
      </c>
      <c r="D510" s="152" t="s">
        <v>54</v>
      </c>
      <c r="E510" s="152">
        <v>2008</v>
      </c>
      <c r="F510" s="158">
        <v>2011</v>
      </c>
      <c r="G510" s="183"/>
      <c r="H510" s="183"/>
    </row>
    <row r="511" spans="2:8" x14ac:dyDescent="0.2">
      <c r="B511" s="151" t="s">
        <v>490</v>
      </c>
      <c r="C511" s="151" t="s">
        <v>169</v>
      </c>
      <c r="D511" s="152" t="s">
        <v>54</v>
      </c>
      <c r="E511" s="152">
        <v>2008</v>
      </c>
      <c r="F511" s="158">
        <v>2012</v>
      </c>
      <c r="G511" s="183">
        <v>7.4999999999999997E-2</v>
      </c>
      <c r="H511" s="183">
        <v>0.31900000000000001</v>
      </c>
    </row>
    <row r="512" spans="2:8" x14ac:dyDescent="0.2">
      <c r="B512" s="151" t="s">
        <v>227</v>
      </c>
      <c r="C512" s="151" t="s">
        <v>169</v>
      </c>
      <c r="D512" s="152" t="s">
        <v>54</v>
      </c>
      <c r="E512" s="152">
        <v>2008</v>
      </c>
      <c r="F512" s="158">
        <v>2013</v>
      </c>
      <c r="G512" s="183">
        <v>0.224</v>
      </c>
      <c r="H512" s="183">
        <v>0.15</v>
      </c>
    </row>
    <row r="513" spans="2:8" x14ac:dyDescent="0.2">
      <c r="B513" s="151" t="s">
        <v>491</v>
      </c>
      <c r="C513" s="151" t="s">
        <v>169</v>
      </c>
      <c r="D513" s="152" t="s">
        <v>54</v>
      </c>
      <c r="E513" s="152">
        <v>2009</v>
      </c>
      <c r="F513" s="158">
        <v>2010</v>
      </c>
      <c r="G513" s="183"/>
      <c r="H513" s="183">
        <v>0.6</v>
      </c>
    </row>
    <row r="514" spans="2:8" x14ac:dyDescent="0.2">
      <c r="B514" s="151" t="s">
        <v>492</v>
      </c>
      <c r="C514" s="151" t="s">
        <v>169</v>
      </c>
      <c r="D514" s="152" t="s">
        <v>54</v>
      </c>
      <c r="E514" s="152">
        <v>2009</v>
      </c>
      <c r="F514" s="158">
        <v>2011</v>
      </c>
      <c r="G514" s="183"/>
      <c r="H514" s="183">
        <v>0.45800000000000002</v>
      </c>
    </row>
    <row r="515" spans="2:8" x14ac:dyDescent="0.2">
      <c r="B515" s="151" t="s">
        <v>493</v>
      </c>
      <c r="C515" s="151" t="s">
        <v>169</v>
      </c>
      <c r="D515" s="152" t="s">
        <v>54</v>
      </c>
      <c r="E515" s="152">
        <v>2009</v>
      </c>
      <c r="F515" s="158">
        <v>2012</v>
      </c>
      <c r="G515" s="183"/>
      <c r="H515" s="183"/>
    </row>
    <row r="516" spans="2:8" x14ac:dyDescent="0.2">
      <c r="B516" s="151" t="s">
        <v>228</v>
      </c>
      <c r="C516" s="151" t="s">
        <v>169</v>
      </c>
      <c r="D516" s="152" t="s">
        <v>54</v>
      </c>
      <c r="E516" s="152">
        <v>2009</v>
      </c>
      <c r="F516" s="158">
        <v>2013</v>
      </c>
      <c r="G516" s="183">
        <v>7.0999999999999994E-2</v>
      </c>
      <c r="H516" s="183">
        <v>0.27800000000000002</v>
      </c>
    </row>
    <row r="517" spans="2:8" x14ac:dyDescent="0.2">
      <c r="B517" s="151" t="s">
        <v>494</v>
      </c>
      <c r="C517" s="151" t="s">
        <v>169</v>
      </c>
      <c r="D517" s="152" t="s">
        <v>54</v>
      </c>
      <c r="E517" s="152">
        <v>2010</v>
      </c>
      <c r="F517" s="158">
        <v>2011</v>
      </c>
      <c r="G517" s="183"/>
      <c r="H517" s="183">
        <v>0.66200000000000003</v>
      </c>
    </row>
    <row r="518" spans="2:8" x14ac:dyDescent="0.2">
      <c r="B518" s="151" t="s">
        <v>495</v>
      </c>
      <c r="C518" s="151" t="s">
        <v>169</v>
      </c>
      <c r="D518" s="152" t="s">
        <v>54</v>
      </c>
      <c r="E518" s="152">
        <v>2010</v>
      </c>
      <c r="F518" s="158">
        <v>2012</v>
      </c>
      <c r="G518" s="183"/>
      <c r="H518" s="183">
        <v>0.53600000000000003</v>
      </c>
    </row>
    <row r="519" spans="2:8" x14ac:dyDescent="0.2">
      <c r="B519" s="151" t="s">
        <v>229</v>
      </c>
      <c r="C519" s="151" t="s">
        <v>169</v>
      </c>
      <c r="D519" s="152" t="s">
        <v>54</v>
      </c>
      <c r="E519" s="152">
        <v>2010</v>
      </c>
      <c r="F519" s="158">
        <v>2013</v>
      </c>
      <c r="G519" s="183"/>
      <c r="H519" s="183"/>
    </row>
    <row r="520" spans="2:8" x14ac:dyDescent="0.2">
      <c r="B520" s="151" t="s">
        <v>496</v>
      </c>
      <c r="C520" s="151" t="s">
        <v>169</v>
      </c>
      <c r="D520" s="152" t="s">
        <v>54</v>
      </c>
      <c r="E520" s="152">
        <v>2011</v>
      </c>
      <c r="F520" s="158">
        <v>2012</v>
      </c>
      <c r="G520" s="183"/>
      <c r="H520" s="183">
        <v>0.61899999999999999</v>
      </c>
    </row>
    <row r="521" spans="2:8" x14ac:dyDescent="0.2">
      <c r="B521" s="151" t="s">
        <v>230</v>
      </c>
      <c r="C521" s="151" t="s">
        <v>169</v>
      </c>
      <c r="D521" s="152" t="s">
        <v>54</v>
      </c>
      <c r="E521" s="152">
        <v>2011</v>
      </c>
      <c r="F521" s="158">
        <v>2013</v>
      </c>
      <c r="G521" s="183"/>
      <c r="H521" s="183">
        <v>0.48899999999999999</v>
      </c>
    </row>
    <row r="522" spans="2:8" x14ac:dyDescent="0.2">
      <c r="B522" s="151" t="s">
        <v>231</v>
      </c>
      <c r="C522" s="151" t="s">
        <v>169</v>
      </c>
      <c r="D522" s="152" t="s">
        <v>54</v>
      </c>
      <c r="E522" s="152">
        <v>2012</v>
      </c>
      <c r="F522" s="158">
        <v>2013</v>
      </c>
      <c r="G522" s="183"/>
      <c r="H522" s="183">
        <v>0.67300000000000004</v>
      </c>
    </row>
    <row r="523" spans="2:8" x14ac:dyDescent="0.2">
      <c r="B523" s="202" t="s">
        <v>901</v>
      </c>
      <c r="C523" s="151" t="s">
        <v>169</v>
      </c>
      <c r="D523" s="152" t="s">
        <v>135</v>
      </c>
      <c r="E523" s="152">
        <v>2008</v>
      </c>
      <c r="F523" s="158">
        <v>2009</v>
      </c>
      <c r="G523" s="183"/>
      <c r="H523" s="183">
        <v>0.76900000000000002</v>
      </c>
    </row>
    <row r="524" spans="2:8" x14ac:dyDescent="0.2">
      <c r="B524" s="202" t="s">
        <v>497</v>
      </c>
      <c r="C524" s="151" t="s">
        <v>169</v>
      </c>
      <c r="D524" s="152" t="s">
        <v>135</v>
      </c>
      <c r="E524" s="152">
        <v>2008</v>
      </c>
      <c r="F524" s="158">
        <v>2010</v>
      </c>
      <c r="G524" s="183"/>
      <c r="H524" s="183">
        <v>0.69199999999999995</v>
      </c>
    </row>
    <row r="525" spans="2:8" x14ac:dyDescent="0.2">
      <c r="B525" s="202" t="s">
        <v>498</v>
      </c>
      <c r="C525" s="151" t="s">
        <v>169</v>
      </c>
      <c r="D525" s="152" t="s">
        <v>135</v>
      </c>
      <c r="E525" s="152">
        <v>2008</v>
      </c>
      <c r="F525" s="158">
        <v>2011</v>
      </c>
      <c r="G525" s="183"/>
      <c r="H525" s="183"/>
    </row>
    <row r="526" spans="2:8" x14ac:dyDescent="0.2">
      <c r="B526" s="202" t="s">
        <v>499</v>
      </c>
      <c r="C526" s="151" t="s">
        <v>169</v>
      </c>
      <c r="D526" s="152" t="s">
        <v>135</v>
      </c>
      <c r="E526" s="152">
        <v>2008</v>
      </c>
      <c r="F526" s="158">
        <v>2012</v>
      </c>
      <c r="G526" s="183">
        <v>0.34599999999999997</v>
      </c>
      <c r="H526" s="183">
        <v>0.26900000000000002</v>
      </c>
    </row>
    <row r="527" spans="2:8" x14ac:dyDescent="0.2">
      <c r="B527" s="202" t="s">
        <v>232</v>
      </c>
      <c r="C527" s="151" t="s">
        <v>169</v>
      </c>
      <c r="D527" s="152" t="s">
        <v>135</v>
      </c>
      <c r="E527" s="152">
        <v>2008</v>
      </c>
      <c r="F527" s="158">
        <v>2013</v>
      </c>
      <c r="G527" s="183">
        <v>0.46200000000000002</v>
      </c>
      <c r="H527" s="183">
        <v>0.154</v>
      </c>
    </row>
    <row r="528" spans="2:8" x14ac:dyDescent="0.2">
      <c r="B528" s="151" t="s">
        <v>500</v>
      </c>
      <c r="C528" s="151" t="s">
        <v>169</v>
      </c>
      <c r="D528" s="152" t="s">
        <v>135</v>
      </c>
      <c r="E528" s="152">
        <v>2009</v>
      </c>
      <c r="F528" s="158">
        <v>2010</v>
      </c>
      <c r="G528" s="183"/>
      <c r="H528" s="183">
        <v>0.56299999999999994</v>
      </c>
    </row>
    <row r="529" spans="2:8" x14ac:dyDescent="0.2">
      <c r="B529" s="151" t="s">
        <v>501</v>
      </c>
      <c r="C529" s="151" t="s">
        <v>169</v>
      </c>
      <c r="D529" s="152" t="s">
        <v>135</v>
      </c>
      <c r="E529" s="152">
        <v>2009</v>
      </c>
      <c r="F529" s="158">
        <v>2011</v>
      </c>
      <c r="G529" s="183"/>
      <c r="H529" s="183">
        <v>0.313</v>
      </c>
    </row>
    <row r="530" spans="2:8" x14ac:dyDescent="0.2">
      <c r="B530" s="151" t="s">
        <v>502</v>
      </c>
      <c r="C530" s="151" t="s">
        <v>169</v>
      </c>
      <c r="D530" s="152" t="s">
        <v>135</v>
      </c>
      <c r="E530" s="152">
        <v>2009</v>
      </c>
      <c r="F530" s="158">
        <v>2012</v>
      </c>
      <c r="G530" s="183"/>
      <c r="H530" s="183"/>
    </row>
    <row r="531" spans="2:8" x14ac:dyDescent="0.2">
      <c r="B531" s="151" t="s">
        <v>233</v>
      </c>
      <c r="C531" s="151" t="s">
        <v>169</v>
      </c>
      <c r="D531" s="152" t="s">
        <v>135</v>
      </c>
      <c r="E531" s="152">
        <v>2009</v>
      </c>
      <c r="F531" s="158">
        <v>2013</v>
      </c>
      <c r="G531" s="183">
        <v>6.3E-2</v>
      </c>
      <c r="H531" s="183">
        <v>0.188</v>
      </c>
    </row>
    <row r="532" spans="2:8" x14ac:dyDescent="0.2">
      <c r="B532" s="151" t="s">
        <v>503</v>
      </c>
      <c r="C532" s="151" t="s">
        <v>169</v>
      </c>
      <c r="D532" s="152" t="s">
        <v>135</v>
      </c>
      <c r="E532" s="152">
        <v>2010</v>
      </c>
      <c r="F532" s="158">
        <v>2011</v>
      </c>
      <c r="G532" s="183"/>
      <c r="H532" s="183">
        <v>0.58799999999999997</v>
      </c>
    </row>
    <row r="533" spans="2:8" x14ac:dyDescent="0.2">
      <c r="B533" s="151" t="s">
        <v>504</v>
      </c>
      <c r="C533" s="151" t="s">
        <v>169</v>
      </c>
      <c r="D533" s="152" t="s">
        <v>135</v>
      </c>
      <c r="E533" s="152">
        <v>2010</v>
      </c>
      <c r="F533" s="158">
        <v>2012</v>
      </c>
      <c r="G533" s="183"/>
      <c r="H533" s="183">
        <v>0.52900000000000003</v>
      </c>
    </row>
    <row r="534" spans="2:8" x14ac:dyDescent="0.2">
      <c r="B534" s="151" t="s">
        <v>234</v>
      </c>
      <c r="C534" s="151" t="s">
        <v>169</v>
      </c>
      <c r="D534" s="152" t="s">
        <v>135</v>
      </c>
      <c r="E534" s="152">
        <v>2010</v>
      </c>
      <c r="F534" s="158">
        <v>2013</v>
      </c>
      <c r="G534" s="183"/>
      <c r="H534" s="183"/>
    </row>
    <row r="535" spans="2:8" x14ac:dyDescent="0.2">
      <c r="B535" s="151" t="s">
        <v>505</v>
      </c>
      <c r="C535" s="151" t="s">
        <v>169</v>
      </c>
      <c r="D535" s="152" t="s">
        <v>135</v>
      </c>
      <c r="E535" s="152">
        <v>2011</v>
      </c>
      <c r="F535" s="158">
        <v>2012</v>
      </c>
      <c r="G535" s="183"/>
      <c r="H535" s="183">
        <v>0.42099999999999999</v>
      </c>
    </row>
    <row r="536" spans="2:8" x14ac:dyDescent="0.2">
      <c r="B536" s="151" t="s">
        <v>235</v>
      </c>
      <c r="C536" s="151" t="s">
        <v>169</v>
      </c>
      <c r="D536" s="152" t="s">
        <v>135</v>
      </c>
      <c r="E536" s="152">
        <v>2011</v>
      </c>
      <c r="F536" s="158">
        <v>2013</v>
      </c>
      <c r="G536" s="183"/>
      <c r="H536" s="183">
        <v>0.316</v>
      </c>
    </row>
    <row r="537" spans="2:8" x14ac:dyDescent="0.2">
      <c r="B537" s="151" t="s">
        <v>236</v>
      </c>
      <c r="C537" s="151" t="s">
        <v>169</v>
      </c>
      <c r="D537" s="152" t="s">
        <v>135</v>
      </c>
      <c r="E537" s="152">
        <v>2012</v>
      </c>
      <c r="F537" s="158">
        <v>2013</v>
      </c>
      <c r="G537" s="183"/>
      <c r="H537" s="183">
        <v>0.60899999999999999</v>
      </c>
    </row>
    <row r="538" spans="2:8" x14ac:dyDescent="0.2">
      <c r="B538" s="151" t="s">
        <v>506</v>
      </c>
      <c r="C538" s="151" t="s">
        <v>169</v>
      </c>
      <c r="D538" s="152" t="s">
        <v>142</v>
      </c>
      <c r="E538" s="152">
        <v>2004</v>
      </c>
      <c r="F538" s="158">
        <v>2005</v>
      </c>
      <c r="G538" s="183"/>
      <c r="H538" s="183">
        <v>0.7</v>
      </c>
    </row>
    <row r="539" spans="2:8" x14ac:dyDescent="0.2">
      <c r="B539" s="151" t="s">
        <v>507</v>
      </c>
      <c r="C539" s="151" t="s">
        <v>169</v>
      </c>
      <c r="D539" s="152" t="s">
        <v>142</v>
      </c>
      <c r="E539" s="152">
        <v>2004</v>
      </c>
      <c r="F539" s="158">
        <v>2006</v>
      </c>
      <c r="G539" s="183"/>
      <c r="H539" s="183">
        <v>0.45</v>
      </c>
    </row>
    <row r="540" spans="2:8" x14ac:dyDescent="0.2">
      <c r="B540" s="151" t="s">
        <v>508</v>
      </c>
      <c r="C540" s="151" t="s">
        <v>169</v>
      </c>
      <c r="D540" s="152" t="s">
        <v>142</v>
      </c>
      <c r="E540" s="152">
        <v>2004</v>
      </c>
      <c r="F540" s="158">
        <v>2007</v>
      </c>
      <c r="G540" s="183"/>
      <c r="H540" s="183"/>
    </row>
    <row r="541" spans="2:8" x14ac:dyDescent="0.2">
      <c r="B541" s="151" t="s">
        <v>509</v>
      </c>
      <c r="C541" s="151" t="s">
        <v>169</v>
      </c>
      <c r="D541" s="152" t="s">
        <v>142</v>
      </c>
      <c r="E541" s="152">
        <v>2004</v>
      </c>
      <c r="F541" s="158">
        <v>2008</v>
      </c>
      <c r="G541" s="183">
        <v>7.4999999999999997E-2</v>
      </c>
      <c r="H541" s="183">
        <v>2.5000000000000001E-2</v>
      </c>
    </row>
    <row r="542" spans="2:8" x14ac:dyDescent="0.2">
      <c r="B542" s="151" t="s">
        <v>510</v>
      </c>
      <c r="C542" s="151" t="s">
        <v>169</v>
      </c>
      <c r="D542" s="152" t="s">
        <v>142</v>
      </c>
      <c r="E542" s="152">
        <v>2004</v>
      </c>
      <c r="F542" s="158">
        <v>2009</v>
      </c>
      <c r="G542" s="183">
        <v>0.1</v>
      </c>
      <c r="H542" s="183">
        <v>0</v>
      </c>
    </row>
    <row r="543" spans="2:8" x14ac:dyDescent="0.2">
      <c r="B543" s="151" t="s">
        <v>511</v>
      </c>
      <c r="C543" s="151" t="s">
        <v>169</v>
      </c>
      <c r="D543" s="152" t="s">
        <v>142</v>
      </c>
      <c r="E543" s="152">
        <v>2004</v>
      </c>
      <c r="F543" s="158">
        <v>2010</v>
      </c>
      <c r="G543" s="183">
        <v>0.1</v>
      </c>
      <c r="H543" s="183">
        <v>0</v>
      </c>
    </row>
    <row r="544" spans="2:8" x14ac:dyDescent="0.2">
      <c r="B544" s="151" t="s">
        <v>512</v>
      </c>
      <c r="C544" s="151" t="s">
        <v>169</v>
      </c>
      <c r="D544" s="152" t="s">
        <v>142</v>
      </c>
      <c r="E544" s="152">
        <v>2004</v>
      </c>
      <c r="F544" s="158">
        <v>2011</v>
      </c>
      <c r="G544" s="183">
        <v>0.1</v>
      </c>
      <c r="H544" s="183">
        <v>0</v>
      </c>
    </row>
    <row r="545" spans="2:8" x14ac:dyDescent="0.2">
      <c r="B545" s="151" t="s">
        <v>513</v>
      </c>
      <c r="C545" s="151" t="s">
        <v>169</v>
      </c>
      <c r="D545" s="152" t="s">
        <v>142</v>
      </c>
      <c r="E545" s="152">
        <v>2004</v>
      </c>
      <c r="F545" s="158">
        <v>2012</v>
      </c>
      <c r="G545" s="183">
        <v>0.1</v>
      </c>
      <c r="H545" s="183">
        <v>0</v>
      </c>
    </row>
    <row r="546" spans="2:8" x14ac:dyDescent="0.2">
      <c r="B546" s="151" t="s">
        <v>237</v>
      </c>
      <c r="C546" s="151" t="s">
        <v>169</v>
      </c>
      <c r="D546" s="152" t="s">
        <v>142</v>
      </c>
      <c r="E546" s="152">
        <v>2004</v>
      </c>
      <c r="F546" s="158">
        <v>2013</v>
      </c>
      <c r="G546" s="183">
        <v>0.1</v>
      </c>
      <c r="H546" s="183">
        <v>0</v>
      </c>
    </row>
    <row r="547" spans="2:8" x14ac:dyDescent="0.2">
      <c r="B547" s="151" t="s">
        <v>514</v>
      </c>
      <c r="C547" s="151" t="s">
        <v>169</v>
      </c>
      <c r="D547" s="152" t="s">
        <v>142</v>
      </c>
      <c r="E547" s="152">
        <v>2005</v>
      </c>
      <c r="F547" s="158">
        <v>2006</v>
      </c>
      <c r="G547" s="183"/>
      <c r="H547" s="183">
        <v>0.60199999999999998</v>
      </c>
    </row>
    <row r="548" spans="2:8" x14ac:dyDescent="0.2">
      <c r="B548" s="151" t="s">
        <v>515</v>
      </c>
      <c r="C548" s="151" t="s">
        <v>169</v>
      </c>
      <c r="D548" s="152" t="s">
        <v>142</v>
      </c>
      <c r="E548" s="152">
        <v>2005</v>
      </c>
      <c r="F548" s="158">
        <v>2007</v>
      </c>
      <c r="G548" s="183"/>
      <c r="H548" s="183">
        <v>0.42</v>
      </c>
    </row>
    <row r="549" spans="2:8" x14ac:dyDescent="0.2">
      <c r="B549" s="151" t="s">
        <v>516</v>
      </c>
      <c r="C549" s="151" t="s">
        <v>169</v>
      </c>
      <c r="D549" s="152" t="s">
        <v>142</v>
      </c>
      <c r="E549" s="152">
        <v>2005</v>
      </c>
      <c r="F549" s="158">
        <v>2008</v>
      </c>
      <c r="G549" s="183"/>
      <c r="H549" s="183"/>
    </row>
    <row r="550" spans="2:8" x14ac:dyDescent="0.2">
      <c r="B550" s="151" t="s">
        <v>517</v>
      </c>
      <c r="C550" s="151" t="s">
        <v>169</v>
      </c>
      <c r="D550" s="152" t="s">
        <v>142</v>
      </c>
      <c r="E550" s="152">
        <v>2005</v>
      </c>
      <c r="F550" s="158">
        <v>2009</v>
      </c>
      <c r="G550" s="183">
        <v>2.3E-2</v>
      </c>
      <c r="H550" s="183">
        <v>3.4000000000000002E-2</v>
      </c>
    </row>
    <row r="551" spans="2:8" x14ac:dyDescent="0.2">
      <c r="B551" s="151" t="s">
        <v>518</v>
      </c>
      <c r="C551" s="151" t="s">
        <v>169</v>
      </c>
      <c r="D551" s="152" t="s">
        <v>142</v>
      </c>
      <c r="E551" s="152">
        <v>2005</v>
      </c>
      <c r="F551" s="158">
        <v>2010</v>
      </c>
      <c r="G551" s="183">
        <v>0.10199999999999999</v>
      </c>
      <c r="H551" s="183">
        <v>6.8000000000000005E-2</v>
      </c>
    </row>
    <row r="552" spans="2:8" x14ac:dyDescent="0.2">
      <c r="B552" s="151" t="s">
        <v>519</v>
      </c>
      <c r="C552" s="151" t="s">
        <v>169</v>
      </c>
      <c r="D552" s="152" t="s">
        <v>142</v>
      </c>
      <c r="E552" s="152">
        <v>2005</v>
      </c>
      <c r="F552" s="158">
        <v>2011</v>
      </c>
      <c r="G552" s="183">
        <v>0.14799999999999999</v>
      </c>
      <c r="H552" s="183">
        <v>1.0999999999999999E-2</v>
      </c>
    </row>
    <row r="553" spans="2:8" x14ac:dyDescent="0.2">
      <c r="B553" s="151" t="s">
        <v>520</v>
      </c>
      <c r="C553" s="151" t="s">
        <v>169</v>
      </c>
      <c r="D553" s="152" t="s">
        <v>142</v>
      </c>
      <c r="E553" s="152">
        <v>2005</v>
      </c>
      <c r="F553" s="158">
        <v>2012</v>
      </c>
      <c r="G553" s="183">
        <v>0.159</v>
      </c>
      <c r="H553" s="183">
        <v>0</v>
      </c>
    </row>
    <row r="554" spans="2:8" x14ac:dyDescent="0.2">
      <c r="B554" s="151" t="s">
        <v>238</v>
      </c>
      <c r="C554" s="151" t="s">
        <v>169</v>
      </c>
      <c r="D554" s="152" t="s">
        <v>142</v>
      </c>
      <c r="E554" s="152">
        <v>2005</v>
      </c>
      <c r="F554" s="158">
        <v>2013</v>
      </c>
      <c r="G554" s="183">
        <v>0.159</v>
      </c>
      <c r="H554" s="183">
        <v>0</v>
      </c>
    </row>
    <row r="555" spans="2:8" x14ac:dyDescent="0.2">
      <c r="B555" s="151" t="s">
        <v>521</v>
      </c>
      <c r="C555" s="151" t="s">
        <v>169</v>
      </c>
      <c r="D555" s="152" t="s">
        <v>142</v>
      </c>
      <c r="E555" s="152">
        <v>2006</v>
      </c>
      <c r="F555" s="158">
        <v>2007</v>
      </c>
      <c r="G555" s="183"/>
      <c r="H555" s="183">
        <v>0.36199999999999999</v>
      </c>
    </row>
    <row r="556" spans="2:8" x14ac:dyDescent="0.2">
      <c r="B556" s="151" t="s">
        <v>522</v>
      </c>
      <c r="C556" s="151" t="s">
        <v>169</v>
      </c>
      <c r="D556" s="152" t="s">
        <v>142</v>
      </c>
      <c r="E556" s="152">
        <v>2006</v>
      </c>
      <c r="F556" s="158">
        <v>2008</v>
      </c>
      <c r="G556" s="183"/>
      <c r="H556" s="183">
        <v>0.26400000000000001</v>
      </c>
    </row>
    <row r="557" spans="2:8" x14ac:dyDescent="0.2">
      <c r="B557" s="151" t="s">
        <v>523</v>
      </c>
      <c r="C557" s="151" t="s">
        <v>169</v>
      </c>
      <c r="D557" s="152" t="s">
        <v>142</v>
      </c>
      <c r="E557" s="152">
        <v>2006</v>
      </c>
      <c r="F557" s="158">
        <v>2009</v>
      </c>
      <c r="G557" s="183"/>
      <c r="H557" s="183"/>
    </row>
    <row r="558" spans="2:8" x14ac:dyDescent="0.2">
      <c r="B558" s="151" t="s">
        <v>524</v>
      </c>
      <c r="C558" s="151" t="s">
        <v>169</v>
      </c>
      <c r="D558" s="152" t="s">
        <v>142</v>
      </c>
      <c r="E558" s="152">
        <v>2006</v>
      </c>
      <c r="F558" s="158">
        <v>2010</v>
      </c>
      <c r="G558" s="183">
        <v>5.7000000000000002E-2</v>
      </c>
      <c r="H558" s="183">
        <v>0.14899999999999999</v>
      </c>
    </row>
    <row r="559" spans="2:8" x14ac:dyDescent="0.2">
      <c r="B559" s="151" t="s">
        <v>525</v>
      </c>
      <c r="C559" s="151" t="s">
        <v>169</v>
      </c>
      <c r="D559" s="152" t="s">
        <v>142</v>
      </c>
      <c r="E559" s="152">
        <v>2006</v>
      </c>
      <c r="F559" s="158">
        <v>2011</v>
      </c>
      <c r="G559" s="183">
        <v>0.17199999999999999</v>
      </c>
      <c r="H559" s="183">
        <v>0.04</v>
      </c>
    </row>
    <row r="560" spans="2:8" x14ac:dyDescent="0.2">
      <c r="B560" s="151" t="s">
        <v>526</v>
      </c>
      <c r="C560" s="151" t="s">
        <v>169</v>
      </c>
      <c r="D560" s="152" t="s">
        <v>142</v>
      </c>
      <c r="E560" s="152">
        <v>2006</v>
      </c>
      <c r="F560" s="158">
        <v>2012</v>
      </c>
      <c r="G560" s="183">
        <v>0.17199999999999999</v>
      </c>
      <c r="H560" s="183">
        <v>0</v>
      </c>
    </row>
    <row r="561" spans="2:8" x14ac:dyDescent="0.2">
      <c r="B561" s="151" t="s">
        <v>239</v>
      </c>
      <c r="C561" s="151" t="s">
        <v>169</v>
      </c>
      <c r="D561" s="152" t="s">
        <v>142</v>
      </c>
      <c r="E561" s="152">
        <v>2006</v>
      </c>
      <c r="F561" s="158">
        <v>2013</v>
      </c>
      <c r="G561" s="183">
        <v>0.17199999999999999</v>
      </c>
      <c r="H561" s="183">
        <v>0</v>
      </c>
    </row>
    <row r="562" spans="2:8" x14ac:dyDescent="0.2">
      <c r="B562" s="151" t="s">
        <v>527</v>
      </c>
      <c r="C562" s="151" t="s">
        <v>169</v>
      </c>
      <c r="D562" s="152" t="s">
        <v>142</v>
      </c>
      <c r="E562" s="152">
        <v>2007</v>
      </c>
      <c r="F562" s="158">
        <v>2008</v>
      </c>
      <c r="G562" s="183"/>
      <c r="H562" s="183">
        <v>0.435</v>
      </c>
    </row>
    <row r="563" spans="2:8" x14ac:dyDescent="0.2">
      <c r="B563" s="151" t="s">
        <v>528</v>
      </c>
      <c r="C563" s="151" t="s">
        <v>169</v>
      </c>
      <c r="D563" s="152" t="s">
        <v>142</v>
      </c>
      <c r="E563" s="152">
        <v>2007</v>
      </c>
      <c r="F563" s="158">
        <v>2009</v>
      </c>
      <c r="G563" s="183"/>
      <c r="H563" s="183">
        <v>8.0000000000000002E-3</v>
      </c>
    </row>
    <row r="564" spans="2:8" x14ac:dyDescent="0.2">
      <c r="B564" s="151" t="s">
        <v>529</v>
      </c>
      <c r="C564" s="151" t="s">
        <v>169</v>
      </c>
      <c r="D564" s="152" t="s">
        <v>142</v>
      </c>
      <c r="E564" s="152">
        <v>2007</v>
      </c>
      <c r="F564" s="158">
        <v>2010</v>
      </c>
      <c r="G564" s="183"/>
      <c r="H564" s="183"/>
    </row>
    <row r="565" spans="2:8" x14ac:dyDescent="0.2">
      <c r="B565" s="151" t="s">
        <v>530</v>
      </c>
      <c r="C565" s="151" t="s">
        <v>169</v>
      </c>
      <c r="D565" s="152" t="s">
        <v>142</v>
      </c>
      <c r="E565" s="152">
        <v>2007</v>
      </c>
      <c r="F565" s="158">
        <v>2011</v>
      </c>
      <c r="G565" s="183">
        <v>9.1999999999999998E-2</v>
      </c>
      <c r="H565" s="183">
        <v>0.16</v>
      </c>
    </row>
    <row r="566" spans="2:8" x14ac:dyDescent="0.2">
      <c r="B566" s="151" t="s">
        <v>531</v>
      </c>
      <c r="C566" s="151" t="s">
        <v>169</v>
      </c>
      <c r="D566" s="152" t="s">
        <v>142</v>
      </c>
      <c r="E566" s="152">
        <v>2007</v>
      </c>
      <c r="F566" s="158">
        <v>2012</v>
      </c>
      <c r="G566" s="183">
        <v>9.1999999999999998E-2</v>
      </c>
      <c r="H566" s="183">
        <v>0</v>
      </c>
    </row>
    <row r="567" spans="2:8" x14ac:dyDescent="0.2">
      <c r="B567" s="151" t="s">
        <v>240</v>
      </c>
      <c r="C567" s="151" t="s">
        <v>169</v>
      </c>
      <c r="D567" s="152" t="s">
        <v>142</v>
      </c>
      <c r="E567" s="152">
        <v>2007</v>
      </c>
      <c r="F567" s="158">
        <v>2013</v>
      </c>
      <c r="G567" s="183">
        <v>9.1999999999999998E-2</v>
      </c>
      <c r="H567" s="183">
        <v>0</v>
      </c>
    </row>
    <row r="568" spans="2:8" x14ac:dyDescent="0.2">
      <c r="B568" s="151" t="s">
        <v>532</v>
      </c>
      <c r="C568" s="151" t="s">
        <v>169</v>
      </c>
      <c r="D568" s="152" t="s">
        <v>142</v>
      </c>
      <c r="E568" s="152">
        <v>2008</v>
      </c>
      <c r="F568" s="158">
        <v>2009</v>
      </c>
      <c r="G568" s="183"/>
      <c r="H568" s="183">
        <v>0.625</v>
      </c>
    </row>
    <row r="569" spans="2:8" x14ac:dyDescent="0.2">
      <c r="B569" s="151" t="s">
        <v>533</v>
      </c>
      <c r="C569" s="151" t="s">
        <v>169</v>
      </c>
      <c r="D569" s="152" t="s">
        <v>142</v>
      </c>
      <c r="E569" s="152">
        <v>2008</v>
      </c>
      <c r="F569" s="158">
        <v>2010</v>
      </c>
      <c r="G569" s="183"/>
      <c r="H569" s="183">
        <v>0.54200000000000004</v>
      </c>
    </row>
    <row r="570" spans="2:8" x14ac:dyDescent="0.2">
      <c r="B570" s="151" t="s">
        <v>534</v>
      </c>
      <c r="C570" s="151" t="s">
        <v>169</v>
      </c>
      <c r="D570" s="152" t="s">
        <v>142</v>
      </c>
      <c r="E570" s="152">
        <v>2008</v>
      </c>
      <c r="F570" s="158">
        <v>2011</v>
      </c>
      <c r="G570" s="183"/>
      <c r="H570" s="183"/>
    </row>
    <row r="571" spans="2:8" x14ac:dyDescent="0.2">
      <c r="B571" s="151" t="s">
        <v>535</v>
      </c>
      <c r="C571" s="151" t="s">
        <v>169</v>
      </c>
      <c r="D571" s="152" t="s">
        <v>142</v>
      </c>
      <c r="E571" s="152">
        <v>2008</v>
      </c>
      <c r="F571" s="158">
        <v>2012</v>
      </c>
      <c r="G571" s="183">
        <v>0.125</v>
      </c>
      <c r="H571" s="183">
        <v>0.375</v>
      </c>
    </row>
    <row r="572" spans="2:8" x14ac:dyDescent="0.2">
      <c r="B572" s="151" t="s">
        <v>241</v>
      </c>
      <c r="C572" s="151" t="s">
        <v>169</v>
      </c>
      <c r="D572" s="152" t="s">
        <v>142</v>
      </c>
      <c r="E572" s="152">
        <v>2008</v>
      </c>
      <c r="F572" s="158">
        <v>2013</v>
      </c>
      <c r="G572" s="183">
        <v>0.45800000000000002</v>
      </c>
      <c r="H572" s="183">
        <v>0.125</v>
      </c>
    </row>
    <row r="573" spans="2:8" x14ac:dyDescent="0.2">
      <c r="B573" s="151" t="s">
        <v>536</v>
      </c>
      <c r="C573" s="151" t="s">
        <v>169</v>
      </c>
      <c r="D573" s="152" t="s">
        <v>142</v>
      </c>
      <c r="E573" s="152">
        <v>2009</v>
      </c>
      <c r="F573" s="158">
        <v>2010</v>
      </c>
      <c r="G573" s="183"/>
      <c r="H573" s="183">
        <v>0.61499999999999999</v>
      </c>
    </row>
    <row r="574" spans="2:8" x14ac:dyDescent="0.2">
      <c r="B574" s="151" t="s">
        <v>537</v>
      </c>
      <c r="C574" s="151" t="s">
        <v>169</v>
      </c>
      <c r="D574" s="152" t="s">
        <v>142</v>
      </c>
      <c r="E574" s="152">
        <v>2009</v>
      </c>
      <c r="F574" s="158">
        <v>2011</v>
      </c>
      <c r="G574" s="183"/>
      <c r="H574" s="183">
        <v>0.57699999999999996</v>
      </c>
    </row>
    <row r="575" spans="2:8" x14ac:dyDescent="0.2">
      <c r="B575" s="151" t="s">
        <v>538</v>
      </c>
      <c r="C575" s="151" t="s">
        <v>169</v>
      </c>
      <c r="D575" s="152" t="s">
        <v>142</v>
      </c>
      <c r="E575" s="152">
        <v>2009</v>
      </c>
      <c r="F575" s="158">
        <v>2012</v>
      </c>
      <c r="G575" s="183"/>
      <c r="H575" s="183"/>
    </row>
    <row r="576" spans="2:8" x14ac:dyDescent="0.2">
      <c r="B576" s="151" t="s">
        <v>242</v>
      </c>
      <c r="C576" s="151" t="s">
        <v>169</v>
      </c>
      <c r="D576" s="152" t="s">
        <v>142</v>
      </c>
      <c r="E576" s="152">
        <v>2009</v>
      </c>
      <c r="F576" s="158">
        <v>2013</v>
      </c>
      <c r="G576" s="183">
        <v>0.115</v>
      </c>
      <c r="H576" s="183">
        <v>0.308</v>
      </c>
    </row>
    <row r="577" spans="2:8" x14ac:dyDescent="0.2">
      <c r="B577" s="151" t="s">
        <v>539</v>
      </c>
      <c r="C577" s="151" t="s">
        <v>169</v>
      </c>
      <c r="D577" s="152" t="s">
        <v>142</v>
      </c>
      <c r="E577" s="152">
        <v>2010</v>
      </c>
      <c r="F577" s="158">
        <v>2011</v>
      </c>
      <c r="G577" s="183"/>
      <c r="H577" s="183">
        <v>0.54500000000000004</v>
      </c>
    </row>
    <row r="578" spans="2:8" x14ac:dyDescent="0.2">
      <c r="B578" s="151" t="s">
        <v>540</v>
      </c>
      <c r="C578" s="151" t="s">
        <v>169</v>
      </c>
      <c r="D578" s="152" t="s">
        <v>142</v>
      </c>
      <c r="E578" s="152">
        <v>2010</v>
      </c>
      <c r="F578" s="158">
        <v>2012</v>
      </c>
      <c r="G578" s="183"/>
      <c r="H578" s="183">
        <v>0.45500000000000002</v>
      </c>
    </row>
    <row r="579" spans="2:8" x14ac:dyDescent="0.2">
      <c r="B579" s="151" t="s">
        <v>243</v>
      </c>
      <c r="C579" s="151" t="s">
        <v>169</v>
      </c>
      <c r="D579" s="152" t="s">
        <v>142</v>
      </c>
      <c r="E579" s="152">
        <v>2010</v>
      </c>
      <c r="F579" s="158">
        <v>2013</v>
      </c>
      <c r="G579" s="183"/>
      <c r="H579" s="183"/>
    </row>
    <row r="580" spans="2:8" x14ac:dyDescent="0.2">
      <c r="B580" s="151" t="s">
        <v>541</v>
      </c>
      <c r="C580" s="151" t="s">
        <v>169</v>
      </c>
      <c r="D580" s="152" t="s">
        <v>142</v>
      </c>
      <c r="E580" s="152">
        <v>2011</v>
      </c>
      <c r="F580" s="158">
        <v>2012</v>
      </c>
      <c r="G580" s="183"/>
      <c r="H580" s="183">
        <v>0.625</v>
      </c>
    </row>
    <row r="581" spans="2:8" x14ac:dyDescent="0.2">
      <c r="B581" s="151" t="s">
        <v>244</v>
      </c>
      <c r="C581" s="151" t="s">
        <v>169</v>
      </c>
      <c r="D581" s="152" t="s">
        <v>142</v>
      </c>
      <c r="E581" s="152">
        <v>2011</v>
      </c>
      <c r="F581" s="158">
        <v>2013</v>
      </c>
      <c r="G581" s="183"/>
      <c r="H581" s="183">
        <v>0.625</v>
      </c>
    </row>
    <row r="582" spans="2:8" x14ac:dyDescent="0.2">
      <c r="B582" s="151" t="s">
        <v>245</v>
      </c>
      <c r="C582" s="151" t="s">
        <v>169</v>
      </c>
      <c r="D582" s="152" t="s">
        <v>142</v>
      </c>
      <c r="E582" s="152">
        <v>2012</v>
      </c>
      <c r="F582" s="158">
        <v>2013</v>
      </c>
      <c r="G582" s="183"/>
      <c r="H582" s="183">
        <v>0.68400000000000005</v>
      </c>
    </row>
    <row r="583" spans="2:8" x14ac:dyDescent="0.2">
      <c r="B583" s="151" t="s">
        <v>542</v>
      </c>
      <c r="C583" s="151" t="s">
        <v>169</v>
      </c>
      <c r="D583" s="152" t="s">
        <v>53</v>
      </c>
      <c r="E583" s="152">
        <v>2004</v>
      </c>
      <c r="F583" s="158">
        <v>2005</v>
      </c>
      <c r="G583" s="183"/>
      <c r="H583" s="183">
        <v>0.67800000000000005</v>
      </c>
    </row>
    <row r="584" spans="2:8" x14ac:dyDescent="0.2">
      <c r="B584" s="151" t="s">
        <v>543</v>
      </c>
      <c r="C584" s="151" t="s">
        <v>169</v>
      </c>
      <c r="D584" s="152" t="s">
        <v>53</v>
      </c>
      <c r="E584" s="152">
        <v>2004</v>
      </c>
      <c r="F584" s="158">
        <v>2006</v>
      </c>
      <c r="G584" s="183"/>
      <c r="H584" s="183">
        <v>0.52700000000000002</v>
      </c>
    </row>
    <row r="585" spans="2:8" x14ac:dyDescent="0.2">
      <c r="B585" s="151" t="s">
        <v>544</v>
      </c>
      <c r="C585" s="151" t="s">
        <v>169</v>
      </c>
      <c r="D585" s="152" t="s">
        <v>53</v>
      </c>
      <c r="E585" s="152">
        <v>2004</v>
      </c>
      <c r="F585" s="158">
        <v>2007</v>
      </c>
      <c r="G585" s="183"/>
      <c r="H585" s="183"/>
    </row>
    <row r="586" spans="2:8" x14ac:dyDescent="0.2">
      <c r="B586" s="151" t="s">
        <v>545</v>
      </c>
      <c r="C586" s="151" t="s">
        <v>169</v>
      </c>
      <c r="D586" s="152" t="s">
        <v>53</v>
      </c>
      <c r="E586" s="152">
        <v>2004</v>
      </c>
      <c r="F586" s="158">
        <v>2008</v>
      </c>
      <c r="G586" s="183">
        <v>0.125</v>
      </c>
      <c r="H586" s="183">
        <v>0.26100000000000001</v>
      </c>
    </row>
    <row r="587" spans="2:8" x14ac:dyDescent="0.2">
      <c r="B587" s="151" t="s">
        <v>546</v>
      </c>
      <c r="C587" s="151" t="s">
        <v>169</v>
      </c>
      <c r="D587" s="152" t="s">
        <v>53</v>
      </c>
      <c r="E587" s="152">
        <v>2004</v>
      </c>
      <c r="F587" s="158">
        <v>2009</v>
      </c>
      <c r="G587" s="183">
        <v>0.28699999999999998</v>
      </c>
      <c r="H587" s="183">
        <v>8.4000000000000005E-2</v>
      </c>
    </row>
    <row r="588" spans="2:8" x14ac:dyDescent="0.2">
      <c r="B588" s="151" t="s">
        <v>547</v>
      </c>
      <c r="C588" s="151" t="s">
        <v>169</v>
      </c>
      <c r="D588" s="152" t="s">
        <v>53</v>
      </c>
      <c r="E588" s="152">
        <v>2004</v>
      </c>
      <c r="F588" s="158">
        <v>2010</v>
      </c>
      <c r="G588" s="183">
        <v>0.33100000000000002</v>
      </c>
      <c r="H588" s="183">
        <v>0.04</v>
      </c>
    </row>
    <row r="589" spans="2:8" x14ac:dyDescent="0.2">
      <c r="B589" s="151" t="s">
        <v>548</v>
      </c>
      <c r="C589" s="151" t="s">
        <v>169</v>
      </c>
      <c r="D589" s="152" t="s">
        <v>53</v>
      </c>
      <c r="E589" s="152">
        <v>2004</v>
      </c>
      <c r="F589" s="158">
        <v>2011</v>
      </c>
      <c r="G589" s="183">
        <v>0.35</v>
      </c>
      <c r="H589" s="183">
        <v>0.02</v>
      </c>
    </row>
    <row r="590" spans="2:8" x14ac:dyDescent="0.2">
      <c r="B590" s="151" t="s">
        <v>549</v>
      </c>
      <c r="C590" s="151" t="s">
        <v>169</v>
      </c>
      <c r="D590" s="152" t="s">
        <v>53</v>
      </c>
      <c r="E590" s="152">
        <v>2004</v>
      </c>
      <c r="F590" s="158">
        <v>2012</v>
      </c>
      <c r="G590" s="183">
        <v>0.36199999999999999</v>
      </c>
      <c r="H590" s="183">
        <v>8.0000000000000002E-3</v>
      </c>
    </row>
    <row r="591" spans="2:8" x14ac:dyDescent="0.2">
      <c r="B591" s="151" t="s">
        <v>246</v>
      </c>
      <c r="C591" s="151" t="s">
        <v>169</v>
      </c>
      <c r="D591" s="152" t="s">
        <v>53</v>
      </c>
      <c r="E591" s="152">
        <v>2004</v>
      </c>
      <c r="F591" s="158">
        <v>2013</v>
      </c>
      <c r="G591" s="183">
        <v>0.36599999999999999</v>
      </c>
      <c r="H591" s="183">
        <v>1.9E-2</v>
      </c>
    </row>
    <row r="592" spans="2:8" x14ac:dyDescent="0.2">
      <c r="B592" s="151" t="s">
        <v>550</v>
      </c>
      <c r="C592" s="151" t="s">
        <v>169</v>
      </c>
      <c r="D592" s="152" t="s">
        <v>53</v>
      </c>
      <c r="E592" s="152">
        <v>2005</v>
      </c>
      <c r="F592" s="158">
        <v>2006</v>
      </c>
      <c r="G592" s="183"/>
      <c r="H592" s="183">
        <v>0.67400000000000004</v>
      </c>
    </row>
    <row r="593" spans="2:8" x14ac:dyDescent="0.2">
      <c r="B593" s="151" t="s">
        <v>551</v>
      </c>
      <c r="C593" s="151" t="s">
        <v>169</v>
      </c>
      <c r="D593" s="152" t="s">
        <v>53</v>
      </c>
      <c r="E593" s="152">
        <v>2005</v>
      </c>
      <c r="F593" s="158">
        <v>2007</v>
      </c>
      <c r="G593" s="183"/>
      <c r="H593" s="183">
        <v>0.51800000000000002</v>
      </c>
    </row>
    <row r="594" spans="2:8" x14ac:dyDescent="0.2">
      <c r="B594" s="151" t="s">
        <v>552</v>
      </c>
      <c r="C594" s="151" t="s">
        <v>169</v>
      </c>
      <c r="D594" s="152" t="s">
        <v>53</v>
      </c>
      <c r="E594" s="152">
        <v>2005</v>
      </c>
      <c r="F594" s="158">
        <v>2008</v>
      </c>
      <c r="G594" s="183"/>
      <c r="H594" s="183"/>
    </row>
    <row r="595" spans="2:8" x14ac:dyDescent="0.2">
      <c r="B595" s="151" t="s">
        <v>553</v>
      </c>
      <c r="C595" s="151" t="s">
        <v>169</v>
      </c>
      <c r="D595" s="152" t="s">
        <v>53</v>
      </c>
      <c r="E595" s="152">
        <v>2005</v>
      </c>
      <c r="F595" s="158">
        <v>2009</v>
      </c>
      <c r="G595" s="183">
        <v>0.11</v>
      </c>
      <c r="H595" s="183">
        <v>0.26900000000000002</v>
      </c>
    </row>
    <row r="596" spans="2:8" x14ac:dyDescent="0.2">
      <c r="B596" s="151" t="s">
        <v>554</v>
      </c>
      <c r="C596" s="151" t="s">
        <v>169</v>
      </c>
      <c r="D596" s="152" t="s">
        <v>53</v>
      </c>
      <c r="E596" s="152">
        <v>2005</v>
      </c>
      <c r="F596" s="158">
        <v>2010</v>
      </c>
      <c r="G596" s="183">
        <v>0.27400000000000002</v>
      </c>
      <c r="H596" s="183">
        <v>0.1</v>
      </c>
    </row>
    <row r="597" spans="2:8" x14ac:dyDescent="0.2">
      <c r="B597" s="151" t="s">
        <v>555</v>
      </c>
      <c r="C597" s="151" t="s">
        <v>169</v>
      </c>
      <c r="D597" s="152" t="s">
        <v>53</v>
      </c>
      <c r="E597" s="152">
        <v>2005</v>
      </c>
      <c r="F597" s="158">
        <v>2011</v>
      </c>
      <c r="G597" s="183">
        <v>0.33300000000000002</v>
      </c>
      <c r="H597" s="183">
        <v>4.2999999999999997E-2</v>
      </c>
    </row>
    <row r="598" spans="2:8" x14ac:dyDescent="0.2">
      <c r="B598" s="151" t="s">
        <v>556</v>
      </c>
      <c r="C598" s="151" t="s">
        <v>169</v>
      </c>
      <c r="D598" s="152" t="s">
        <v>53</v>
      </c>
      <c r="E598" s="152">
        <v>2005</v>
      </c>
      <c r="F598" s="158">
        <v>2012</v>
      </c>
      <c r="G598" s="183">
        <v>0.35499999999999998</v>
      </c>
      <c r="H598" s="183">
        <v>2.4E-2</v>
      </c>
    </row>
    <row r="599" spans="2:8" x14ac:dyDescent="0.2">
      <c r="B599" s="151" t="s">
        <v>247</v>
      </c>
      <c r="C599" s="151" t="s">
        <v>169</v>
      </c>
      <c r="D599" s="152" t="s">
        <v>53</v>
      </c>
      <c r="E599" s="152">
        <v>2005</v>
      </c>
      <c r="F599" s="158">
        <v>2013</v>
      </c>
      <c r="G599" s="183">
        <v>0.36899999999999999</v>
      </c>
      <c r="H599" s="183">
        <v>1.6E-2</v>
      </c>
    </row>
    <row r="600" spans="2:8" x14ac:dyDescent="0.2">
      <c r="B600" s="151" t="s">
        <v>557</v>
      </c>
      <c r="C600" s="151" t="s">
        <v>169</v>
      </c>
      <c r="D600" s="152" t="s">
        <v>53</v>
      </c>
      <c r="E600" s="152">
        <v>2006</v>
      </c>
      <c r="F600" s="158">
        <v>2007</v>
      </c>
      <c r="G600" s="183"/>
      <c r="H600" s="183">
        <v>0.63500000000000001</v>
      </c>
    </row>
    <row r="601" spans="2:8" x14ac:dyDescent="0.2">
      <c r="B601" s="151" t="s">
        <v>558</v>
      </c>
      <c r="C601" s="151" t="s">
        <v>169</v>
      </c>
      <c r="D601" s="152" t="s">
        <v>53</v>
      </c>
      <c r="E601" s="152">
        <v>2006</v>
      </c>
      <c r="F601" s="158">
        <v>2008</v>
      </c>
      <c r="G601" s="183"/>
      <c r="H601" s="183">
        <v>0.48</v>
      </c>
    </row>
    <row r="602" spans="2:8" x14ac:dyDescent="0.2">
      <c r="B602" s="151" t="s">
        <v>559</v>
      </c>
      <c r="C602" s="151" t="s">
        <v>169</v>
      </c>
      <c r="D602" s="152" t="s">
        <v>53</v>
      </c>
      <c r="E602" s="152">
        <v>2006</v>
      </c>
      <c r="F602" s="158">
        <v>2009</v>
      </c>
      <c r="G602" s="183"/>
      <c r="H602" s="183"/>
    </row>
    <row r="603" spans="2:8" x14ac:dyDescent="0.2">
      <c r="B603" s="151" t="s">
        <v>560</v>
      </c>
      <c r="C603" s="151" t="s">
        <v>169</v>
      </c>
      <c r="D603" s="152" t="s">
        <v>53</v>
      </c>
      <c r="E603" s="152">
        <v>2006</v>
      </c>
      <c r="F603" s="158">
        <v>2010</v>
      </c>
      <c r="G603" s="183">
        <v>0.11</v>
      </c>
      <c r="H603" s="183">
        <v>0.27400000000000002</v>
      </c>
    </row>
    <row r="604" spans="2:8" x14ac:dyDescent="0.2">
      <c r="B604" s="151" t="s">
        <v>561</v>
      </c>
      <c r="C604" s="151" t="s">
        <v>169</v>
      </c>
      <c r="D604" s="152" t="s">
        <v>53</v>
      </c>
      <c r="E604" s="152">
        <v>2006</v>
      </c>
      <c r="F604" s="158">
        <v>2011</v>
      </c>
      <c r="G604" s="183">
        <v>0.27900000000000003</v>
      </c>
      <c r="H604" s="183">
        <v>8.4000000000000005E-2</v>
      </c>
    </row>
    <row r="605" spans="2:8" x14ac:dyDescent="0.2">
      <c r="B605" s="151" t="s">
        <v>562</v>
      </c>
      <c r="C605" s="151" t="s">
        <v>169</v>
      </c>
      <c r="D605" s="152" t="s">
        <v>53</v>
      </c>
      <c r="E605" s="152">
        <v>2006</v>
      </c>
      <c r="F605" s="158">
        <v>2012</v>
      </c>
      <c r="G605" s="183">
        <v>0.32300000000000001</v>
      </c>
      <c r="H605" s="183">
        <v>2.4E-2</v>
      </c>
    </row>
    <row r="606" spans="2:8" x14ac:dyDescent="0.2">
      <c r="B606" s="151" t="s">
        <v>248</v>
      </c>
      <c r="C606" s="151" t="s">
        <v>169</v>
      </c>
      <c r="D606" s="152" t="s">
        <v>53</v>
      </c>
      <c r="E606" s="152">
        <v>2006</v>
      </c>
      <c r="F606" s="158">
        <v>2013</v>
      </c>
      <c r="G606" s="183">
        <v>0.35499999999999998</v>
      </c>
      <c r="H606" s="183">
        <v>1.4E-2</v>
      </c>
    </row>
    <row r="607" spans="2:8" x14ac:dyDescent="0.2">
      <c r="B607" s="151" t="s">
        <v>563</v>
      </c>
      <c r="C607" s="151" t="s">
        <v>169</v>
      </c>
      <c r="D607" s="152" t="s">
        <v>53</v>
      </c>
      <c r="E607" s="152">
        <v>2007</v>
      </c>
      <c r="F607" s="158">
        <v>2008</v>
      </c>
      <c r="G607" s="183"/>
      <c r="H607" s="183">
        <v>0.63300000000000001</v>
      </c>
    </row>
    <row r="608" spans="2:8" x14ac:dyDescent="0.2">
      <c r="B608" s="151" t="s">
        <v>564</v>
      </c>
      <c r="C608" s="151" t="s">
        <v>169</v>
      </c>
      <c r="D608" s="152" t="s">
        <v>53</v>
      </c>
      <c r="E608" s="152">
        <v>2007</v>
      </c>
      <c r="F608" s="158">
        <v>2009</v>
      </c>
      <c r="G608" s="183"/>
      <c r="H608" s="183">
        <v>0.47099999999999997</v>
      </c>
    </row>
    <row r="609" spans="2:8" x14ac:dyDescent="0.2">
      <c r="B609" s="151" t="s">
        <v>565</v>
      </c>
      <c r="C609" s="151" t="s">
        <v>169</v>
      </c>
      <c r="D609" s="152" t="s">
        <v>53</v>
      </c>
      <c r="E609" s="152">
        <v>2007</v>
      </c>
      <c r="F609" s="158">
        <v>2010</v>
      </c>
      <c r="G609" s="183"/>
      <c r="H609" s="183"/>
    </row>
    <row r="610" spans="2:8" x14ac:dyDescent="0.2">
      <c r="B610" s="151" t="s">
        <v>566</v>
      </c>
      <c r="C610" s="151" t="s">
        <v>169</v>
      </c>
      <c r="D610" s="152" t="s">
        <v>53</v>
      </c>
      <c r="E610" s="152">
        <v>2007</v>
      </c>
      <c r="F610" s="158">
        <v>2011</v>
      </c>
      <c r="G610" s="183">
        <v>0.123</v>
      </c>
      <c r="H610" s="183">
        <v>0.26100000000000001</v>
      </c>
    </row>
    <row r="611" spans="2:8" x14ac:dyDescent="0.2">
      <c r="B611" s="151" t="s">
        <v>567</v>
      </c>
      <c r="C611" s="151" t="s">
        <v>169</v>
      </c>
      <c r="D611" s="152" t="s">
        <v>53</v>
      </c>
      <c r="E611" s="152">
        <v>2007</v>
      </c>
      <c r="F611" s="158">
        <v>2012</v>
      </c>
      <c r="G611" s="183">
        <v>0.27</v>
      </c>
      <c r="H611" s="183">
        <v>6.5000000000000002E-2</v>
      </c>
    </row>
    <row r="612" spans="2:8" x14ac:dyDescent="0.2">
      <c r="B612" s="151" t="s">
        <v>249</v>
      </c>
      <c r="C612" s="151" t="s">
        <v>169</v>
      </c>
      <c r="D612" s="152" t="s">
        <v>53</v>
      </c>
      <c r="E612" s="152">
        <v>2007</v>
      </c>
      <c r="F612" s="158">
        <v>2013</v>
      </c>
      <c r="G612" s="183">
        <v>0.32200000000000001</v>
      </c>
      <c r="H612" s="183">
        <v>4.8000000000000001E-2</v>
      </c>
    </row>
    <row r="613" spans="2:8" x14ac:dyDescent="0.2">
      <c r="B613" s="151" t="s">
        <v>568</v>
      </c>
      <c r="C613" s="151" t="s">
        <v>169</v>
      </c>
      <c r="D613" s="152" t="s">
        <v>53</v>
      </c>
      <c r="E613" s="152">
        <v>2008</v>
      </c>
      <c r="F613" s="158">
        <v>2009</v>
      </c>
      <c r="G613" s="183"/>
      <c r="H613" s="183">
        <v>0.71399999999999997</v>
      </c>
    </row>
    <row r="614" spans="2:8" x14ac:dyDescent="0.2">
      <c r="B614" s="151" t="s">
        <v>569</v>
      </c>
      <c r="C614" s="151" t="s">
        <v>169</v>
      </c>
      <c r="D614" s="152" t="s">
        <v>53</v>
      </c>
      <c r="E614" s="152">
        <v>2008</v>
      </c>
      <c r="F614" s="158">
        <v>2010</v>
      </c>
      <c r="G614" s="183"/>
      <c r="H614" s="183">
        <v>0.57199999999999995</v>
      </c>
    </row>
    <row r="615" spans="2:8" x14ac:dyDescent="0.2">
      <c r="B615" s="151" t="s">
        <v>570</v>
      </c>
      <c r="C615" s="151" t="s">
        <v>169</v>
      </c>
      <c r="D615" s="152" t="s">
        <v>53</v>
      </c>
      <c r="E615" s="152">
        <v>2008</v>
      </c>
      <c r="F615" s="158">
        <v>2011</v>
      </c>
      <c r="G615" s="183"/>
      <c r="H615" s="183"/>
    </row>
    <row r="616" spans="2:8" x14ac:dyDescent="0.2">
      <c r="B616" s="151" t="s">
        <v>571</v>
      </c>
      <c r="C616" s="151" t="s">
        <v>169</v>
      </c>
      <c r="D616" s="152" t="s">
        <v>53</v>
      </c>
      <c r="E616" s="152">
        <v>2008</v>
      </c>
      <c r="F616" s="158">
        <v>2012</v>
      </c>
      <c r="G616" s="183">
        <v>0.12</v>
      </c>
      <c r="H616" s="183">
        <v>0.32700000000000001</v>
      </c>
    </row>
    <row r="617" spans="2:8" x14ac:dyDescent="0.2">
      <c r="B617" s="151" t="s">
        <v>250</v>
      </c>
      <c r="C617" s="151" t="s">
        <v>169</v>
      </c>
      <c r="D617" s="152" t="s">
        <v>53</v>
      </c>
      <c r="E617" s="152">
        <v>2008</v>
      </c>
      <c r="F617" s="158">
        <v>2013</v>
      </c>
      <c r="G617" s="183">
        <v>0.312</v>
      </c>
      <c r="H617" s="183">
        <v>0.124</v>
      </c>
    </row>
    <row r="618" spans="2:8" x14ac:dyDescent="0.2">
      <c r="B618" s="151" t="s">
        <v>572</v>
      </c>
      <c r="C618" s="151" t="s">
        <v>169</v>
      </c>
      <c r="D618" s="152" t="s">
        <v>53</v>
      </c>
      <c r="E618" s="152">
        <v>2009</v>
      </c>
      <c r="F618" s="158">
        <v>2010</v>
      </c>
      <c r="G618" s="183"/>
      <c r="H618" s="183">
        <v>0.65200000000000002</v>
      </c>
    </row>
    <row r="619" spans="2:8" x14ac:dyDescent="0.2">
      <c r="B619" s="151" t="s">
        <v>573</v>
      </c>
      <c r="C619" s="151" t="s">
        <v>169</v>
      </c>
      <c r="D619" s="152" t="s">
        <v>53</v>
      </c>
      <c r="E619" s="152">
        <v>2009</v>
      </c>
      <c r="F619" s="158">
        <v>2011</v>
      </c>
      <c r="G619" s="183"/>
      <c r="H619" s="183">
        <v>0.51100000000000001</v>
      </c>
    </row>
    <row r="620" spans="2:8" x14ac:dyDescent="0.2">
      <c r="B620" s="151" t="s">
        <v>574</v>
      </c>
      <c r="C620" s="151" t="s">
        <v>169</v>
      </c>
      <c r="D620" s="152" t="s">
        <v>53</v>
      </c>
      <c r="E620" s="152">
        <v>2009</v>
      </c>
      <c r="F620" s="158">
        <v>2012</v>
      </c>
      <c r="G620" s="183"/>
      <c r="H620" s="183"/>
    </row>
    <row r="621" spans="2:8" x14ac:dyDescent="0.2">
      <c r="B621" s="151" t="s">
        <v>251</v>
      </c>
      <c r="C621" s="151" t="s">
        <v>169</v>
      </c>
      <c r="D621" s="152" t="s">
        <v>53</v>
      </c>
      <c r="E621" s="152">
        <v>2009</v>
      </c>
      <c r="F621" s="158">
        <v>2013</v>
      </c>
      <c r="G621" s="183">
        <v>0.115</v>
      </c>
      <c r="H621" s="183">
        <v>0.308</v>
      </c>
    </row>
    <row r="622" spans="2:8" x14ac:dyDescent="0.2">
      <c r="B622" s="151" t="s">
        <v>575</v>
      </c>
      <c r="C622" s="151" t="s">
        <v>169</v>
      </c>
      <c r="D622" s="152" t="s">
        <v>53</v>
      </c>
      <c r="E622" s="152">
        <v>2010</v>
      </c>
      <c r="F622" s="158">
        <v>2011</v>
      </c>
      <c r="G622" s="183"/>
      <c r="H622" s="183">
        <v>0.70899999999999996</v>
      </c>
    </row>
    <row r="623" spans="2:8" x14ac:dyDescent="0.2">
      <c r="B623" s="151" t="s">
        <v>576</v>
      </c>
      <c r="C623" s="151" t="s">
        <v>169</v>
      </c>
      <c r="D623" s="152" t="s">
        <v>53</v>
      </c>
      <c r="E623" s="152">
        <v>2010</v>
      </c>
      <c r="F623" s="158">
        <v>2012</v>
      </c>
      <c r="G623" s="183"/>
      <c r="H623" s="183">
        <v>0.56999999999999995</v>
      </c>
    </row>
    <row r="624" spans="2:8" x14ac:dyDescent="0.2">
      <c r="B624" s="151" t="s">
        <v>252</v>
      </c>
      <c r="C624" s="151" t="s">
        <v>169</v>
      </c>
      <c r="D624" s="152" t="s">
        <v>53</v>
      </c>
      <c r="E624" s="152">
        <v>2010</v>
      </c>
      <c r="F624" s="158">
        <v>2013</v>
      </c>
      <c r="G624" s="183"/>
      <c r="H624" s="183"/>
    </row>
    <row r="625" spans="2:8" x14ac:dyDescent="0.2">
      <c r="B625" s="151" t="s">
        <v>577</v>
      </c>
      <c r="C625" s="151" t="s">
        <v>169</v>
      </c>
      <c r="D625" s="152" t="s">
        <v>53</v>
      </c>
      <c r="E625" s="152">
        <v>2011</v>
      </c>
      <c r="F625" s="158">
        <v>2012</v>
      </c>
      <c r="G625" s="183"/>
      <c r="H625" s="183">
        <v>0.68700000000000006</v>
      </c>
    </row>
    <row r="626" spans="2:8" x14ac:dyDescent="0.2">
      <c r="B626" s="151" t="s">
        <v>253</v>
      </c>
      <c r="C626" s="151" t="s">
        <v>169</v>
      </c>
      <c r="D626" s="152" t="s">
        <v>53</v>
      </c>
      <c r="E626" s="152">
        <v>2011</v>
      </c>
      <c r="F626" s="158">
        <v>2013</v>
      </c>
      <c r="G626" s="183"/>
      <c r="H626" s="183">
        <v>0.56200000000000006</v>
      </c>
    </row>
    <row r="627" spans="2:8" x14ac:dyDescent="0.2">
      <c r="B627" s="151" t="s">
        <v>254</v>
      </c>
      <c r="C627" s="151" t="s">
        <v>169</v>
      </c>
      <c r="D627" s="152" t="s">
        <v>53</v>
      </c>
      <c r="E627" s="152">
        <v>2012</v>
      </c>
      <c r="F627" s="158">
        <v>2013</v>
      </c>
      <c r="G627" s="183"/>
      <c r="H627" s="183">
        <v>0.70799999999999996</v>
      </c>
    </row>
    <row r="628" spans="2:8" x14ac:dyDescent="0.2">
      <c r="B628" s="151" t="s">
        <v>578</v>
      </c>
      <c r="C628" s="151" t="s">
        <v>169</v>
      </c>
      <c r="D628" s="152" t="s">
        <v>133</v>
      </c>
      <c r="E628" s="152">
        <v>2004</v>
      </c>
      <c r="F628" s="158">
        <v>2005</v>
      </c>
      <c r="G628" s="183"/>
      <c r="H628" s="183">
        <v>0.67400000000000004</v>
      </c>
    </row>
    <row r="629" spans="2:8" x14ac:dyDescent="0.2">
      <c r="B629" s="151" t="s">
        <v>579</v>
      </c>
      <c r="C629" s="151" t="s">
        <v>169</v>
      </c>
      <c r="D629" s="152" t="s">
        <v>133</v>
      </c>
      <c r="E629" s="152">
        <v>2004</v>
      </c>
      <c r="F629" s="158">
        <v>2006</v>
      </c>
      <c r="G629" s="183"/>
      <c r="H629" s="183">
        <v>0.55800000000000005</v>
      </c>
    </row>
    <row r="630" spans="2:8" x14ac:dyDescent="0.2">
      <c r="B630" s="151" t="s">
        <v>580</v>
      </c>
      <c r="C630" s="151" t="s">
        <v>169</v>
      </c>
      <c r="D630" s="152" t="s">
        <v>133</v>
      </c>
      <c r="E630" s="152">
        <v>2004</v>
      </c>
      <c r="F630" s="158">
        <v>2007</v>
      </c>
      <c r="G630" s="183"/>
      <c r="H630" s="183"/>
    </row>
    <row r="631" spans="2:8" x14ac:dyDescent="0.2">
      <c r="B631" s="151" t="s">
        <v>581</v>
      </c>
      <c r="C631" s="151" t="s">
        <v>169</v>
      </c>
      <c r="D631" s="152" t="s">
        <v>133</v>
      </c>
      <c r="E631" s="152">
        <v>2004</v>
      </c>
      <c r="F631" s="158">
        <v>2008</v>
      </c>
      <c r="G631" s="183">
        <v>0.14000000000000001</v>
      </c>
      <c r="H631" s="183">
        <v>0.27900000000000003</v>
      </c>
    </row>
    <row r="632" spans="2:8" x14ac:dyDescent="0.2">
      <c r="B632" s="151" t="s">
        <v>582</v>
      </c>
      <c r="C632" s="151" t="s">
        <v>169</v>
      </c>
      <c r="D632" s="152" t="s">
        <v>133</v>
      </c>
      <c r="E632" s="152">
        <v>2004</v>
      </c>
      <c r="F632" s="158">
        <v>2009</v>
      </c>
      <c r="G632" s="183">
        <v>0.25600000000000001</v>
      </c>
      <c r="H632" s="183">
        <v>0.16300000000000001</v>
      </c>
    </row>
    <row r="633" spans="2:8" x14ac:dyDescent="0.2">
      <c r="B633" s="151" t="s">
        <v>583</v>
      </c>
      <c r="C633" s="151" t="s">
        <v>169</v>
      </c>
      <c r="D633" s="152" t="s">
        <v>133</v>
      </c>
      <c r="E633" s="152">
        <v>2004</v>
      </c>
      <c r="F633" s="158">
        <v>2010</v>
      </c>
      <c r="G633" s="183">
        <v>0.30199999999999999</v>
      </c>
      <c r="H633" s="183">
        <v>0.16300000000000001</v>
      </c>
    </row>
    <row r="634" spans="2:8" x14ac:dyDescent="0.2">
      <c r="B634" s="151" t="s">
        <v>584</v>
      </c>
      <c r="C634" s="151" t="s">
        <v>169</v>
      </c>
      <c r="D634" s="152" t="s">
        <v>133</v>
      </c>
      <c r="E634" s="152">
        <v>2004</v>
      </c>
      <c r="F634" s="158">
        <v>2011</v>
      </c>
      <c r="G634" s="183">
        <v>0.34899999999999998</v>
      </c>
      <c r="H634" s="183">
        <v>4.7E-2</v>
      </c>
    </row>
    <row r="635" spans="2:8" x14ac:dyDescent="0.2">
      <c r="B635" s="151" t="s">
        <v>585</v>
      </c>
      <c r="C635" s="151" t="s">
        <v>169</v>
      </c>
      <c r="D635" s="152" t="s">
        <v>133</v>
      </c>
      <c r="E635" s="152">
        <v>2004</v>
      </c>
      <c r="F635" s="158">
        <v>2012</v>
      </c>
      <c r="G635" s="183">
        <v>0.39400000000000002</v>
      </c>
      <c r="H635" s="183">
        <v>4.7E-2</v>
      </c>
    </row>
    <row r="636" spans="2:8" x14ac:dyDescent="0.2">
      <c r="B636" s="151" t="s">
        <v>255</v>
      </c>
      <c r="C636" s="151" t="s">
        <v>169</v>
      </c>
      <c r="D636" s="152" t="s">
        <v>133</v>
      </c>
      <c r="E636" s="152">
        <v>2004</v>
      </c>
      <c r="F636" s="158">
        <v>2013</v>
      </c>
      <c r="G636" s="183">
        <v>0.39500000000000002</v>
      </c>
      <c r="H636" s="183">
        <v>9.2999999999999999E-2</v>
      </c>
    </row>
    <row r="637" spans="2:8" x14ac:dyDescent="0.2">
      <c r="B637" s="151" t="s">
        <v>586</v>
      </c>
      <c r="C637" s="151" t="s">
        <v>169</v>
      </c>
      <c r="D637" s="152" t="s">
        <v>133</v>
      </c>
      <c r="E637" s="152">
        <v>2005</v>
      </c>
      <c r="F637" s="158">
        <v>2006</v>
      </c>
      <c r="G637" s="183"/>
      <c r="H637" s="183">
        <v>0.68300000000000005</v>
      </c>
    </row>
    <row r="638" spans="2:8" x14ac:dyDescent="0.2">
      <c r="B638" s="151" t="s">
        <v>587</v>
      </c>
      <c r="C638" s="151" t="s">
        <v>169</v>
      </c>
      <c r="D638" s="152" t="s">
        <v>133</v>
      </c>
      <c r="E638" s="152">
        <v>2005</v>
      </c>
      <c r="F638" s="158">
        <v>2007</v>
      </c>
      <c r="G638" s="183"/>
      <c r="H638" s="183">
        <v>0.6</v>
      </c>
    </row>
    <row r="639" spans="2:8" x14ac:dyDescent="0.2">
      <c r="B639" s="151" t="s">
        <v>588</v>
      </c>
      <c r="C639" s="151" t="s">
        <v>169</v>
      </c>
      <c r="D639" s="152" t="s">
        <v>133</v>
      </c>
      <c r="E639" s="152">
        <v>2005</v>
      </c>
      <c r="F639" s="158">
        <v>2008</v>
      </c>
      <c r="G639" s="183"/>
      <c r="H639" s="183"/>
    </row>
    <row r="640" spans="2:8" x14ac:dyDescent="0.2">
      <c r="B640" s="151" t="s">
        <v>589</v>
      </c>
      <c r="C640" s="151" t="s">
        <v>169</v>
      </c>
      <c r="D640" s="152" t="s">
        <v>133</v>
      </c>
      <c r="E640" s="152">
        <v>2005</v>
      </c>
      <c r="F640" s="158">
        <v>2009</v>
      </c>
      <c r="G640" s="183">
        <v>0.11700000000000001</v>
      </c>
      <c r="H640" s="183">
        <v>0.36699999999999999</v>
      </c>
    </row>
    <row r="641" spans="2:8" x14ac:dyDescent="0.2">
      <c r="B641" s="151" t="s">
        <v>590</v>
      </c>
      <c r="C641" s="151" t="s">
        <v>169</v>
      </c>
      <c r="D641" s="152" t="s">
        <v>133</v>
      </c>
      <c r="E641" s="152">
        <v>2005</v>
      </c>
      <c r="F641" s="158">
        <v>2010</v>
      </c>
      <c r="G641" s="183">
        <v>0.33300000000000002</v>
      </c>
      <c r="H641" s="183">
        <v>6.7000000000000004E-2</v>
      </c>
    </row>
    <row r="642" spans="2:8" x14ac:dyDescent="0.2">
      <c r="B642" s="151" t="s">
        <v>591</v>
      </c>
      <c r="C642" s="151" t="s">
        <v>169</v>
      </c>
      <c r="D642" s="152" t="s">
        <v>133</v>
      </c>
      <c r="E642" s="152">
        <v>2005</v>
      </c>
      <c r="F642" s="158">
        <v>2011</v>
      </c>
      <c r="G642" s="183">
        <v>0.36699999999999999</v>
      </c>
      <c r="H642" s="183">
        <v>0.1</v>
      </c>
    </row>
    <row r="643" spans="2:8" x14ac:dyDescent="0.2">
      <c r="B643" s="151" t="s">
        <v>592</v>
      </c>
      <c r="C643" s="151" t="s">
        <v>169</v>
      </c>
      <c r="D643" s="152" t="s">
        <v>133</v>
      </c>
      <c r="E643" s="152">
        <v>2005</v>
      </c>
      <c r="F643" s="158">
        <v>2012</v>
      </c>
      <c r="G643" s="183">
        <v>0.4</v>
      </c>
      <c r="H643" s="183">
        <v>6.7000000000000004E-2</v>
      </c>
    </row>
    <row r="644" spans="2:8" x14ac:dyDescent="0.2">
      <c r="B644" s="151" t="s">
        <v>256</v>
      </c>
      <c r="C644" s="151" t="s">
        <v>169</v>
      </c>
      <c r="D644" s="152" t="s">
        <v>133</v>
      </c>
      <c r="E644" s="152">
        <v>2005</v>
      </c>
      <c r="F644" s="158">
        <v>2013</v>
      </c>
      <c r="G644" s="183">
        <v>0.45</v>
      </c>
      <c r="H644" s="183">
        <v>0.05</v>
      </c>
    </row>
    <row r="645" spans="2:8" x14ac:dyDescent="0.2">
      <c r="B645" s="151" t="s">
        <v>593</v>
      </c>
      <c r="C645" s="151" t="s">
        <v>169</v>
      </c>
      <c r="D645" s="152" t="s">
        <v>133</v>
      </c>
      <c r="E645" s="152">
        <v>2006</v>
      </c>
      <c r="F645" s="158">
        <v>2007</v>
      </c>
      <c r="G645" s="183"/>
      <c r="H645" s="183">
        <v>0.70199999999999996</v>
      </c>
    </row>
    <row r="646" spans="2:8" x14ac:dyDescent="0.2">
      <c r="B646" s="151" t="s">
        <v>594</v>
      </c>
      <c r="C646" s="151" t="s">
        <v>169</v>
      </c>
      <c r="D646" s="152" t="s">
        <v>133</v>
      </c>
      <c r="E646" s="152">
        <v>2006</v>
      </c>
      <c r="F646" s="158">
        <v>2008</v>
      </c>
      <c r="G646" s="183"/>
      <c r="H646" s="183">
        <v>0.57399999999999995</v>
      </c>
    </row>
    <row r="647" spans="2:8" x14ac:dyDescent="0.2">
      <c r="B647" s="151" t="s">
        <v>595</v>
      </c>
      <c r="C647" s="151" t="s">
        <v>169</v>
      </c>
      <c r="D647" s="152" t="s">
        <v>133</v>
      </c>
      <c r="E647" s="152">
        <v>2006</v>
      </c>
      <c r="F647" s="158">
        <v>2009</v>
      </c>
      <c r="G647" s="183"/>
      <c r="H647" s="183"/>
    </row>
    <row r="648" spans="2:8" x14ac:dyDescent="0.2">
      <c r="B648" s="151" t="s">
        <v>596</v>
      </c>
      <c r="C648" s="151" t="s">
        <v>169</v>
      </c>
      <c r="D648" s="152" t="s">
        <v>133</v>
      </c>
      <c r="E648" s="152">
        <v>2006</v>
      </c>
      <c r="F648" s="158">
        <v>2010</v>
      </c>
      <c r="G648" s="183">
        <v>8.5000000000000006E-2</v>
      </c>
      <c r="H648" s="183">
        <v>0.40400000000000003</v>
      </c>
    </row>
    <row r="649" spans="2:8" x14ac:dyDescent="0.2">
      <c r="B649" s="151" t="s">
        <v>597</v>
      </c>
      <c r="C649" s="151" t="s">
        <v>169</v>
      </c>
      <c r="D649" s="152" t="s">
        <v>133</v>
      </c>
      <c r="E649" s="152">
        <v>2006</v>
      </c>
      <c r="F649" s="158">
        <v>2011</v>
      </c>
      <c r="G649" s="183">
        <v>0.31900000000000001</v>
      </c>
      <c r="H649" s="183">
        <v>6.4000000000000001E-2</v>
      </c>
    </row>
    <row r="650" spans="2:8" x14ac:dyDescent="0.2">
      <c r="B650" s="151" t="s">
        <v>598</v>
      </c>
      <c r="C650" s="151" t="s">
        <v>169</v>
      </c>
      <c r="D650" s="152" t="s">
        <v>133</v>
      </c>
      <c r="E650" s="152">
        <v>2006</v>
      </c>
      <c r="F650" s="158">
        <v>2012</v>
      </c>
      <c r="G650" s="183">
        <v>0.38300000000000001</v>
      </c>
      <c r="H650" s="183">
        <v>2.1000000000000001E-2</v>
      </c>
    </row>
    <row r="651" spans="2:8" x14ac:dyDescent="0.2">
      <c r="B651" s="151" t="s">
        <v>257</v>
      </c>
      <c r="C651" s="151" t="s">
        <v>169</v>
      </c>
      <c r="D651" s="152" t="s">
        <v>133</v>
      </c>
      <c r="E651" s="152">
        <v>2006</v>
      </c>
      <c r="F651" s="158">
        <v>2013</v>
      </c>
      <c r="G651" s="183">
        <v>0.38300000000000001</v>
      </c>
      <c r="H651" s="183">
        <v>2.1000000000000001E-2</v>
      </c>
    </row>
    <row r="652" spans="2:8" x14ac:dyDescent="0.2">
      <c r="B652" s="151" t="s">
        <v>599</v>
      </c>
      <c r="C652" s="151" t="s">
        <v>169</v>
      </c>
      <c r="D652" s="152" t="s">
        <v>133</v>
      </c>
      <c r="E652" s="152">
        <v>2007</v>
      </c>
      <c r="F652" s="158">
        <v>2008</v>
      </c>
      <c r="G652" s="183"/>
      <c r="H652" s="183">
        <v>0.71399999999999997</v>
      </c>
    </row>
    <row r="653" spans="2:8" x14ac:dyDescent="0.2">
      <c r="B653" s="151" t="s">
        <v>600</v>
      </c>
      <c r="C653" s="151" t="s">
        <v>169</v>
      </c>
      <c r="D653" s="152" t="s">
        <v>133</v>
      </c>
      <c r="E653" s="152">
        <v>2007</v>
      </c>
      <c r="F653" s="158">
        <v>2009</v>
      </c>
      <c r="G653" s="183"/>
      <c r="H653" s="183">
        <v>0.55700000000000005</v>
      </c>
    </row>
    <row r="654" spans="2:8" x14ac:dyDescent="0.2">
      <c r="B654" s="151" t="s">
        <v>601</v>
      </c>
      <c r="C654" s="151" t="s">
        <v>169</v>
      </c>
      <c r="D654" s="152" t="s">
        <v>133</v>
      </c>
      <c r="E654" s="152">
        <v>2007</v>
      </c>
      <c r="F654" s="158">
        <v>2010</v>
      </c>
      <c r="G654" s="183"/>
      <c r="H654" s="183"/>
    </row>
    <row r="655" spans="2:8" x14ac:dyDescent="0.2">
      <c r="B655" s="151" t="s">
        <v>602</v>
      </c>
      <c r="C655" s="151" t="s">
        <v>169</v>
      </c>
      <c r="D655" s="152" t="s">
        <v>133</v>
      </c>
      <c r="E655" s="152">
        <v>2007</v>
      </c>
      <c r="F655" s="158">
        <v>2011</v>
      </c>
      <c r="G655" s="183">
        <v>0.114</v>
      </c>
      <c r="H655" s="183">
        <v>0.25700000000000001</v>
      </c>
    </row>
    <row r="656" spans="2:8" x14ac:dyDescent="0.2">
      <c r="B656" s="151" t="s">
        <v>603</v>
      </c>
      <c r="C656" s="151" t="s">
        <v>169</v>
      </c>
      <c r="D656" s="152" t="s">
        <v>133</v>
      </c>
      <c r="E656" s="152">
        <v>2007</v>
      </c>
      <c r="F656" s="158">
        <v>2012</v>
      </c>
      <c r="G656" s="183">
        <v>0.27100000000000002</v>
      </c>
      <c r="H656" s="183">
        <v>7.0999999999999994E-2</v>
      </c>
    </row>
    <row r="657" spans="2:8" x14ac:dyDescent="0.2">
      <c r="B657" s="151" t="s">
        <v>258</v>
      </c>
      <c r="C657" s="151" t="s">
        <v>169</v>
      </c>
      <c r="D657" s="152" t="s">
        <v>133</v>
      </c>
      <c r="E657" s="152">
        <v>2007</v>
      </c>
      <c r="F657" s="158">
        <v>2013</v>
      </c>
      <c r="G657" s="183">
        <v>0.32900000000000001</v>
      </c>
      <c r="H657" s="183">
        <v>8.5999999999999993E-2</v>
      </c>
    </row>
    <row r="658" spans="2:8" x14ac:dyDescent="0.2">
      <c r="B658" s="151" t="s">
        <v>604</v>
      </c>
      <c r="C658" s="151" t="s">
        <v>169</v>
      </c>
      <c r="D658" s="152" t="s">
        <v>133</v>
      </c>
      <c r="E658" s="152">
        <v>2008</v>
      </c>
      <c r="F658" s="158">
        <v>2009</v>
      </c>
      <c r="G658" s="183"/>
      <c r="H658" s="183">
        <v>0.10100000000000001</v>
      </c>
    </row>
    <row r="659" spans="2:8" x14ac:dyDescent="0.2">
      <c r="B659" s="151" t="s">
        <v>605</v>
      </c>
      <c r="C659" s="151" t="s">
        <v>169</v>
      </c>
      <c r="D659" s="152" t="s">
        <v>133</v>
      </c>
      <c r="E659" s="152">
        <v>2008</v>
      </c>
      <c r="F659" s="158">
        <v>2010</v>
      </c>
      <c r="G659" s="183"/>
      <c r="H659" s="183">
        <v>0.13700000000000001</v>
      </c>
    </row>
    <row r="660" spans="2:8" x14ac:dyDescent="0.2">
      <c r="B660" s="151" t="s">
        <v>606</v>
      </c>
      <c r="C660" s="151" t="s">
        <v>169</v>
      </c>
      <c r="D660" s="152" t="s">
        <v>133</v>
      </c>
      <c r="E660" s="152">
        <v>2008</v>
      </c>
      <c r="F660" s="158">
        <v>2011</v>
      </c>
      <c r="G660" s="183"/>
      <c r="H660" s="183"/>
    </row>
    <row r="661" spans="2:8" x14ac:dyDescent="0.2">
      <c r="B661" s="151" t="s">
        <v>607</v>
      </c>
      <c r="C661" s="151" t="s">
        <v>169</v>
      </c>
      <c r="D661" s="152" t="s">
        <v>133</v>
      </c>
      <c r="E661" s="152">
        <v>2008</v>
      </c>
      <c r="F661" s="158">
        <v>2012</v>
      </c>
      <c r="G661" s="183">
        <v>2.9000000000000001E-2</v>
      </c>
      <c r="H661" s="183">
        <v>6.5000000000000002E-2</v>
      </c>
    </row>
    <row r="662" spans="2:8" x14ac:dyDescent="0.2">
      <c r="B662" s="151" t="s">
        <v>259</v>
      </c>
      <c r="C662" s="151" t="s">
        <v>169</v>
      </c>
      <c r="D662" s="152" t="s">
        <v>133</v>
      </c>
      <c r="E662" s="152">
        <v>2008</v>
      </c>
      <c r="F662" s="158">
        <v>2013</v>
      </c>
      <c r="G662" s="183">
        <v>4.2999999999999997E-2</v>
      </c>
      <c r="H662" s="183">
        <v>4.2999999999999997E-2</v>
      </c>
    </row>
    <row r="663" spans="2:8" x14ac:dyDescent="0.2">
      <c r="B663" s="151" t="s">
        <v>608</v>
      </c>
      <c r="C663" s="151" t="s">
        <v>169</v>
      </c>
      <c r="D663" s="152" t="s">
        <v>133</v>
      </c>
      <c r="E663" s="152">
        <v>2009</v>
      </c>
      <c r="F663" s="158">
        <v>2010</v>
      </c>
      <c r="G663" s="183"/>
      <c r="H663" s="183">
        <v>0.81799999999999995</v>
      </c>
    </row>
    <row r="664" spans="2:8" x14ac:dyDescent="0.2">
      <c r="B664" s="151" t="s">
        <v>609</v>
      </c>
      <c r="C664" s="151" t="s">
        <v>169</v>
      </c>
      <c r="D664" s="152" t="s">
        <v>133</v>
      </c>
      <c r="E664" s="152">
        <v>2009</v>
      </c>
      <c r="F664" s="158">
        <v>2011</v>
      </c>
      <c r="G664" s="183"/>
      <c r="H664" s="183">
        <v>0.60599999999999998</v>
      </c>
    </row>
    <row r="665" spans="2:8" x14ac:dyDescent="0.2">
      <c r="B665" s="151" t="s">
        <v>610</v>
      </c>
      <c r="C665" s="151" t="s">
        <v>169</v>
      </c>
      <c r="D665" s="152" t="s">
        <v>133</v>
      </c>
      <c r="E665" s="152">
        <v>2009</v>
      </c>
      <c r="F665" s="158">
        <v>2012</v>
      </c>
      <c r="G665" s="183"/>
      <c r="H665" s="183"/>
    </row>
    <row r="666" spans="2:8" x14ac:dyDescent="0.2">
      <c r="B666" s="151" t="s">
        <v>260</v>
      </c>
      <c r="C666" s="151" t="s">
        <v>169</v>
      </c>
      <c r="D666" s="152" t="s">
        <v>133</v>
      </c>
      <c r="E666" s="152">
        <v>2009</v>
      </c>
      <c r="F666" s="158">
        <v>2013</v>
      </c>
      <c r="G666" s="183">
        <v>0.121</v>
      </c>
      <c r="H666" s="183">
        <v>0.42399999999999999</v>
      </c>
    </row>
    <row r="667" spans="2:8" x14ac:dyDescent="0.2">
      <c r="B667" s="151" t="s">
        <v>611</v>
      </c>
      <c r="C667" s="151" t="s">
        <v>169</v>
      </c>
      <c r="D667" s="152" t="s">
        <v>133</v>
      </c>
      <c r="E667" s="152">
        <v>2010</v>
      </c>
      <c r="F667" s="158">
        <v>2011</v>
      </c>
      <c r="G667" s="183"/>
      <c r="H667" s="183">
        <v>0.65</v>
      </c>
    </row>
    <row r="668" spans="2:8" x14ac:dyDescent="0.2">
      <c r="B668" s="151" t="s">
        <v>612</v>
      </c>
      <c r="C668" s="151" t="s">
        <v>169</v>
      </c>
      <c r="D668" s="152" t="s">
        <v>133</v>
      </c>
      <c r="E668" s="152">
        <v>2010</v>
      </c>
      <c r="F668" s="158">
        <v>2012</v>
      </c>
      <c r="G668" s="183"/>
      <c r="H668" s="183">
        <v>0.45</v>
      </c>
    </row>
    <row r="669" spans="2:8" x14ac:dyDescent="0.2">
      <c r="B669" s="151" t="s">
        <v>261</v>
      </c>
      <c r="C669" s="151" t="s">
        <v>169</v>
      </c>
      <c r="D669" s="152" t="s">
        <v>133</v>
      </c>
      <c r="E669" s="152">
        <v>2010</v>
      </c>
      <c r="F669" s="158">
        <v>2013</v>
      </c>
      <c r="G669" s="183"/>
      <c r="H669" s="183"/>
    </row>
    <row r="670" spans="2:8" x14ac:dyDescent="0.2">
      <c r="B670" s="151" t="s">
        <v>613</v>
      </c>
      <c r="C670" s="151" t="s">
        <v>169</v>
      </c>
      <c r="D670" s="152" t="s">
        <v>133</v>
      </c>
      <c r="E670" s="152">
        <v>2011</v>
      </c>
      <c r="F670" s="158">
        <v>2012</v>
      </c>
      <c r="G670" s="183"/>
      <c r="H670" s="183">
        <v>0.48399999999999999</v>
      </c>
    </row>
    <row r="671" spans="2:8" x14ac:dyDescent="0.2">
      <c r="B671" s="151" t="s">
        <v>262</v>
      </c>
      <c r="C671" s="151" t="s">
        <v>169</v>
      </c>
      <c r="D671" s="152" t="s">
        <v>133</v>
      </c>
      <c r="E671" s="152">
        <v>2011</v>
      </c>
      <c r="F671" s="158">
        <v>2013</v>
      </c>
      <c r="G671" s="183"/>
      <c r="H671" s="183">
        <v>0.35499999999999998</v>
      </c>
    </row>
    <row r="672" spans="2:8" x14ac:dyDescent="0.2">
      <c r="B672" s="151" t="s">
        <v>263</v>
      </c>
      <c r="C672" s="151" t="s">
        <v>169</v>
      </c>
      <c r="D672" s="152" t="s">
        <v>133</v>
      </c>
      <c r="E672" s="152">
        <v>2012</v>
      </c>
      <c r="F672" s="158">
        <v>2013</v>
      </c>
      <c r="G672" s="183"/>
      <c r="H672" s="183">
        <v>0.76500000000000001</v>
      </c>
    </row>
    <row r="673" spans="2:8" x14ac:dyDescent="0.2">
      <c r="B673" s="151" t="s">
        <v>614</v>
      </c>
      <c r="C673" s="151" t="s">
        <v>169</v>
      </c>
      <c r="D673" s="152" t="s">
        <v>60</v>
      </c>
      <c r="E673" s="152">
        <v>2004</v>
      </c>
      <c r="F673" s="158">
        <v>2005</v>
      </c>
      <c r="G673" s="183"/>
      <c r="H673" s="183">
        <v>0.69599999999999995</v>
      </c>
    </row>
    <row r="674" spans="2:8" x14ac:dyDescent="0.2">
      <c r="B674" s="151" t="s">
        <v>615</v>
      </c>
      <c r="C674" s="151" t="s">
        <v>169</v>
      </c>
      <c r="D674" s="152" t="s">
        <v>60</v>
      </c>
      <c r="E674" s="152">
        <v>2004</v>
      </c>
      <c r="F674" s="158">
        <v>2006</v>
      </c>
      <c r="G674" s="183"/>
      <c r="H674" s="183">
        <v>0.55100000000000005</v>
      </c>
    </row>
    <row r="675" spans="2:8" x14ac:dyDescent="0.2">
      <c r="B675" s="151" t="s">
        <v>616</v>
      </c>
      <c r="C675" s="151" t="s">
        <v>169</v>
      </c>
      <c r="D675" s="152" t="s">
        <v>60</v>
      </c>
      <c r="E675" s="152">
        <v>2004</v>
      </c>
      <c r="F675" s="158">
        <v>2007</v>
      </c>
      <c r="G675" s="183"/>
      <c r="H675" s="183"/>
    </row>
    <row r="676" spans="2:8" x14ac:dyDescent="0.2">
      <c r="B676" s="151" t="s">
        <v>617</v>
      </c>
      <c r="C676" s="151" t="s">
        <v>169</v>
      </c>
      <c r="D676" s="152" t="s">
        <v>60</v>
      </c>
      <c r="E676" s="152">
        <v>2004</v>
      </c>
      <c r="F676" s="158">
        <v>2008</v>
      </c>
      <c r="G676" s="183">
        <v>0.13600000000000001</v>
      </c>
      <c r="H676" s="183">
        <v>0.28699999999999998</v>
      </c>
    </row>
    <row r="677" spans="2:8" x14ac:dyDescent="0.2">
      <c r="B677" s="151" t="s">
        <v>618</v>
      </c>
      <c r="C677" s="151" t="s">
        <v>169</v>
      </c>
      <c r="D677" s="152" t="s">
        <v>60</v>
      </c>
      <c r="E677" s="152">
        <v>2004</v>
      </c>
      <c r="F677" s="158">
        <v>2009</v>
      </c>
      <c r="G677" s="183">
        <v>0.32300000000000001</v>
      </c>
      <c r="H677" s="183">
        <v>8.7999999999999995E-2</v>
      </c>
    </row>
    <row r="678" spans="2:8" x14ac:dyDescent="0.2">
      <c r="B678" s="151" t="s">
        <v>619</v>
      </c>
      <c r="C678" s="151" t="s">
        <v>169</v>
      </c>
      <c r="D678" s="152" t="s">
        <v>60</v>
      </c>
      <c r="E678" s="152">
        <v>2004</v>
      </c>
      <c r="F678" s="158">
        <v>2010</v>
      </c>
      <c r="G678" s="183">
        <v>0.374</v>
      </c>
      <c r="H678" s="183">
        <v>3.1E-2</v>
      </c>
    </row>
    <row r="679" spans="2:8" x14ac:dyDescent="0.2">
      <c r="B679" s="151" t="s">
        <v>620</v>
      </c>
      <c r="C679" s="151" t="s">
        <v>169</v>
      </c>
      <c r="D679" s="152" t="s">
        <v>60</v>
      </c>
      <c r="E679" s="152">
        <v>2004</v>
      </c>
      <c r="F679" s="158">
        <v>2011</v>
      </c>
      <c r="G679" s="183">
        <v>0.39400000000000002</v>
      </c>
      <c r="H679" s="183">
        <v>2.1000000000000001E-2</v>
      </c>
    </row>
    <row r="680" spans="2:8" x14ac:dyDescent="0.2">
      <c r="B680" s="151" t="s">
        <v>621</v>
      </c>
      <c r="C680" s="151" t="s">
        <v>169</v>
      </c>
      <c r="D680" s="152" t="s">
        <v>60</v>
      </c>
      <c r="E680" s="152">
        <v>2004</v>
      </c>
      <c r="F680" s="158">
        <v>2012</v>
      </c>
      <c r="G680" s="183">
        <v>0.40600000000000003</v>
      </c>
      <c r="H680" s="183">
        <v>7.0000000000000001E-3</v>
      </c>
    </row>
    <row r="681" spans="2:8" x14ac:dyDescent="0.2">
      <c r="B681" s="151" t="s">
        <v>264</v>
      </c>
      <c r="C681" s="151" t="s">
        <v>169</v>
      </c>
      <c r="D681" s="152" t="s">
        <v>60</v>
      </c>
      <c r="E681" s="152">
        <v>2004</v>
      </c>
      <c r="F681" s="158">
        <v>2013</v>
      </c>
      <c r="G681" s="183">
        <v>0.40899999999999997</v>
      </c>
      <c r="H681" s="183">
        <v>1.4999999999999999E-2</v>
      </c>
    </row>
    <row r="682" spans="2:8" x14ac:dyDescent="0.2">
      <c r="B682" s="151" t="s">
        <v>622</v>
      </c>
      <c r="C682" s="151" t="s">
        <v>169</v>
      </c>
      <c r="D682" s="152" t="s">
        <v>60</v>
      </c>
      <c r="E682" s="152">
        <v>2005</v>
      </c>
      <c r="F682" s="158">
        <v>2006</v>
      </c>
      <c r="G682" s="183"/>
      <c r="H682" s="183">
        <v>0.69299999999999995</v>
      </c>
    </row>
    <row r="683" spans="2:8" x14ac:dyDescent="0.2">
      <c r="B683" s="151" t="s">
        <v>623</v>
      </c>
      <c r="C683" s="151" t="s">
        <v>169</v>
      </c>
      <c r="D683" s="152" t="s">
        <v>60</v>
      </c>
      <c r="E683" s="152">
        <v>2005</v>
      </c>
      <c r="F683" s="158">
        <v>2007</v>
      </c>
      <c r="G683" s="183"/>
      <c r="H683" s="183">
        <v>0.54100000000000004</v>
      </c>
    </row>
    <row r="684" spans="2:8" x14ac:dyDescent="0.2">
      <c r="B684" s="151" t="s">
        <v>624</v>
      </c>
      <c r="C684" s="151" t="s">
        <v>169</v>
      </c>
      <c r="D684" s="152" t="s">
        <v>60</v>
      </c>
      <c r="E684" s="152">
        <v>2005</v>
      </c>
      <c r="F684" s="158">
        <v>2008</v>
      </c>
      <c r="G684" s="183"/>
      <c r="H684" s="183"/>
    </row>
    <row r="685" spans="2:8" x14ac:dyDescent="0.2">
      <c r="B685" s="151" t="s">
        <v>625</v>
      </c>
      <c r="C685" s="151" t="s">
        <v>169</v>
      </c>
      <c r="D685" s="152" t="s">
        <v>60</v>
      </c>
      <c r="E685" s="152">
        <v>2005</v>
      </c>
      <c r="F685" s="158">
        <v>2009</v>
      </c>
      <c r="G685" s="183">
        <v>0.13400000000000001</v>
      </c>
      <c r="H685" s="183">
        <v>0.29199999999999998</v>
      </c>
    </row>
    <row r="686" spans="2:8" x14ac:dyDescent="0.2">
      <c r="B686" s="151" t="s">
        <v>626</v>
      </c>
      <c r="C686" s="151" t="s">
        <v>169</v>
      </c>
      <c r="D686" s="152" t="s">
        <v>60</v>
      </c>
      <c r="E686" s="152">
        <v>2005</v>
      </c>
      <c r="F686" s="158">
        <v>2010</v>
      </c>
      <c r="G686" s="183">
        <v>0.32</v>
      </c>
      <c r="H686" s="183">
        <v>0.10199999999999999</v>
      </c>
    </row>
    <row r="687" spans="2:8" x14ac:dyDescent="0.2">
      <c r="B687" s="151" t="s">
        <v>627</v>
      </c>
      <c r="C687" s="151" t="s">
        <v>169</v>
      </c>
      <c r="D687" s="152" t="s">
        <v>60</v>
      </c>
      <c r="E687" s="152">
        <v>2005</v>
      </c>
      <c r="F687" s="158">
        <v>2011</v>
      </c>
      <c r="G687" s="183">
        <v>0.379</v>
      </c>
      <c r="H687" s="183">
        <v>0.04</v>
      </c>
    </row>
    <row r="688" spans="2:8" x14ac:dyDescent="0.2">
      <c r="B688" s="151" t="s">
        <v>628</v>
      </c>
      <c r="C688" s="151" t="s">
        <v>169</v>
      </c>
      <c r="D688" s="152" t="s">
        <v>60</v>
      </c>
      <c r="E688" s="152">
        <v>2005</v>
      </c>
      <c r="F688" s="158">
        <v>2012</v>
      </c>
      <c r="G688" s="183">
        <v>0.4</v>
      </c>
      <c r="H688" s="183">
        <v>2.4E-2</v>
      </c>
    </row>
    <row r="689" spans="2:8" x14ac:dyDescent="0.2">
      <c r="B689" s="151" t="s">
        <v>265</v>
      </c>
      <c r="C689" s="151" t="s">
        <v>169</v>
      </c>
      <c r="D689" s="152" t="s">
        <v>60</v>
      </c>
      <c r="E689" s="152">
        <v>2005</v>
      </c>
      <c r="F689" s="158">
        <v>2013</v>
      </c>
      <c r="G689" s="183">
        <v>0.41</v>
      </c>
      <c r="H689" s="183">
        <v>1.7999999999999999E-2</v>
      </c>
    </row>
    <row r="690" spans="2:8" x14ac:dyDescent="0.2">
      <c r="B690" s="151" t="s">
        <v>629</v>
      </c>
      <c r="C690" s="151" t="s">
        <v>169</v>
      </c>
      <c r="D690" s="152" t="s">
        <v>60</v>
      </c>
      <c r="E690" s="152">
        <v>2006</v>
      </c>
      <c r="F690" s="158">
        <v>2007</v>
      </c>
      <c r="G690" s="183"/>
      <c r="H690" s="183">
        <v>0.71099999999999997</v>
      </c>
    </row>
    <row r="691" spans="2:8" x14ac:dyDescent="0.2">
      <c r="B691" s="151" t="s">
        <v>630</v>
      </c>
      <c r="C691" s="151" t="s">
        <v>169</v>
      </c>
      <c r="D691" s="152" t="s">
        <v>60</v>
      </c>
      <c r="E691" s="152">
        <v>2006</v>
      </c>
      <c r="F691" s="158">
        <v>2008</v>
      </c>
      <c r="G691" s="183"/>
      <c r="H691" s="183">
        <v>0.55500000000000005</v>
      </c>
    </row>
    <row r="692" spans="2:8" x14ac:dyDescent="0.2">
      <c r="B692" s="151" t="s">
        <v>631</v>
      </c>
      <c r="C692" s="151" t="s">
        <v>169</v>
      </c>
      <c r="D692" s="152" t="s">
        <v>60</v>
      </c>
      <c r="E692" s="152">
        <v>2006</v>
      </c>
      <c r="F692" s="158">
        <v>2009</v>
      </c>
      <c r="G692" s="183"/>
      <c r="H692" s="183"/>
    </row>
    <row r="693" spans="2:8" x14ac:dyDescent="0.2">
      <c r="B693" s="151" t="s">
        <v>632</v>
      </c>
      <c r="C693" s="151" t="s">
        <v>169</v>
      </c>
      <c r="D693" s="152" t="s">
        <v>60</v>
      </c>
      <c r="E693" s="152">
        <v>2006</v>
      </c>
      <c r="F693" s="158">
        <v>2010</v>
      </c>
      <c r="G693" s="183">
        <v>0.14299999999999999</v>
      </c>
      <c r="H693" s="183">
        <v>0.29599999999999999</v>
      </c>
    </row>
    <row r="694" spans="2:8" x14ac:dyDescent="0.2">
      <c r="B694" s="151" t="s">
        <v>633</v>
      </c>
      <c r="C694" s="151" t="s">
        <v>169</v>
      </c>
      <c r="D694" s="152" t="s">
        <v>60</v>
      </c>
      <c r="E694" s="152">
        <v>2006</v>
      </c>
      <c r="F694" s="158">
        <v>2011</v>
      </c>
      <c r="G694" s="183">
        <v>0.33400000000000002</v>
      </c>
      <c r="H694" s="183">
        <v>9.6000000000000002E-2</v>
      </c>
    </row>
    <row r="695" spans="2:8" x14ac:dyDescent="0.2">
      <c r="B695" s="151" t="s">
        <v>634</v>
      </c>
      <c r="C695" s="151" t="s">
        <v>169</v>
      </c>
      <c r="D695" s="152" t="s">
        <v>60</v>
      </c>
      <c r="E695" s="152">
        <v>2006</v>
      </c>
      <c r="F695" s="158">
        <v>2012</v>
      </c>
      <c r="G695" s="183">
        <v>0.38900000000000001</v>
      </c>
      <c r="H695" s="183">
        <v>2.9000000000000001E-2</v>
      </c>
    </row>
    <row r="696" spans="2:8" x14ac:dyDescent="0.2">
      <c r="B696" s="151" t="s">
        <v>266</v>
      </c>
      <c r="C696" s="151" t="s">
        <v>169</v>
      </c>
      <c r="D696" s="152" t="s">
        <v>60</v>
      </c>
      <c r="E696" s="152">
        <v>2006</v>
      </c>
      <c r="F696" s="158">
        <v>2013</v>
      </c>
      <c r="G696" s="183">
        <v>0.42</v>
      </c>
      <c r="H696" s="183">
        <v>1.4999999999999999E-2</v>
      </c>
    </row>
    <row r="697" spans="2:8" x14ac:dyDescent="0.2">
      <c r="B697" s="151" t="s">
        <v>635</v>
      </c>
      <c r="C697" s="151" t="s">
        <v>169</v>
      </c>
      <c r="D697" s="152" t="s">
        <v>60</v>
      </c>
      <c r="E697" s="152">
        <v>2007</v>
      </c>
      <c r="F697" s="158">
        <v>2008</v>
      </c>
      <c r="G697" s="183"/>
      <c r="H697" s="183">
        <v>0.66200000000000003</v>
      </c>
    </row>
    <row r="698" spans="2:8" x14ac:dyDescent="0.2">
      <c r="B698" s="151" t="s">
        <v>636</v>
      </c>
      <c r="C698" s="151" t="s">
        <v>169</v>
      </c>
      <c r="D698" s="152" t="s">
        <v>60</v>
      </c>
      <c r="E698" s="152">
        <v>2007</v>
      </c>
      <c r="F698" s="158">
        <v>2009</v>
      </c>
      <c r="G698" s="183"/>
      <c r="H698" s="183">
        <v>0.55200000000000005</v>
      </c>
    </row>
    <row r="699" spans="2:8" x14ac:dyDescent="0.2">
      <c r="B699" s="151" t="s">
        <v>637</v>
      </c>
      <c r="C699" s="151" t="s">
        <v>169</v>
      </c>
      <c r="D699" s="152" t="s">
        <v>60</v>
      </c>
      <c r="E699" s="152">
        <v>2007</v>
      </c>
      <c r="F699" s="158">
        <v>2010</v>
      </c>
      <c r="G699" s="183"/>
      <c r="H699" s="183"/>
    </row>
    <row r="700" spans="2:8" x14ac:dyDescent="0.2">
      <c r="B700" s="151" t="s">
        <v>638</v>
      </c>
      <c r="C700" s="151" t="s">
        <v>169</v>
      </c>
      <c r="D700" s="152" t="s">
        <v>60</v>
      </c>
      <c r="E700" s="152">
        <v>2007</v>
      </c>
      <c r="F700" s="158">
        <v>2011</v>
      </c>
      <c r="G700" s="183">
        <v>0.14499999999999999</v>
      </c>
      <c r="H700" s="183">
        <v>0.27700000000000002</v>
      </c>
    </row>
    <row r="701" spans="2:8" x14ac:dyDescent="0.2">
      <c r="B701" s="151" t="s">
        <v>639</v>
      </c>
      <c r="C701" s="151" t="s">
        <v>169</v>
      </c>
      <c r="D701" s="152" t="s">
        <v>60</v>
      </c>
      <c r="E701" s="152">
        <v>2007</v>
      </c>
      <c r="F701" s="158">
        <v>2012</v>
      </c>
      <c r="G701" s="183">
        <v>0.32</v>
      </c>
      <c r="H701" s="183">
        <v>7.5999999999999998E-2</v>
      </c>
    </row>
    <row r="702" spans="2:8" x14ac:dyDescent="0.2">
      <c r="B702" s="151" t="s">
        <v>267</v>
      </c>
      <c r="C702" s="151" t="s">
        <v>169</v>
      </c>
      <c r="D702" s="152" t="s">
        <v>60</v>
      </c>
      <c r="E702" s="152">
        <v>2007</v>
      </c>
      <c r="F702" s="158">
        <v>2013</v>
      </c>
      <c r="G702" s="183">
        <v>0.38100000000000001</v>
      </c>
      <c r="H702" s="183">
        <v>4.9000000000000002E-2</v>
      </c>
    </row>
    <row r="703" spans="2:8" x14ac:dyDescent="0.2">
      <c r="B703" s="151" t="s">
        <v>640</v>
      </c>
      <c r="C703" s="151" t="s">
        <v>169</v>
      </c>
      <c r="D703" s="152" t="s">
        <v>60</v>
      </c>
      <c r="E703" s="152">
        <v>2008</v>
      </c>
      <c r="F703" s="158">
        <v>2009</v>
      </c>
      <c r="G703" s="183"/>
      <c r="H703" s="183">
        <v>0.84199999999999997</v>
      </c>
    </row>
    <row r="704" spans="2:8" x14ac:dyDescent="0.2">
      <c r="B704" s="151" t="s">
        <v>641</v>
      </c>
      <c r="C704" s="151" t="s">
        <v>169</v>
      </c>
      <c r="D704" s="152" t="s">
        <v>60</v>
      </c>
      <c r="E704" s="152">
        <v>2008</v>
      </c>
      <c r="F704" s="158">
        <v>2010</v>
      </c>
      <c r="G704" s="183"/>
      <c r="H704" s="183">
        <v>0.68899999999999995</v>
      </c>
    </row>
    <row r="705" spans="2:10" x14ac:dyDescent="0.2">
      <c r="B705" s="151" t="s">
        <v>642</v>
      </c>
      <c r="C705" s="151" t="s">
        <v>169</v>
      </c>
      <c r="D705" s="152" t="s">
        <v>60</v>
      </c>
      <c r="E705" s="152">
        <v>2008</v>
      </c>
      <c r="F705" s="158">
        <v>2011</v>
      </c>
      <c r="G705" s="183"/>
      <c r="H705" s="183"/>
    </row>
    <row r="706" spans="2:10" x14ac:dyDescent="0.2">
      <c r="B706" s="151" t="s">
        <v>643</v>
      </c>
      <c r="C706" s="151" t="s">
        <v>169</v>
      </c>
      <c r="D706" s="152" t="s">
        <v>60</v>
      </c>
      <c r="E706" s="152">
        <v>2008</v>
      </c>
      <c r="F706" s="158">
        <v>2012</v>
      </c>
      <c r="G706" s="183">
        <v>0.152</v>
      </c>
      <c r="H706" s="183">
        <v>0.38700000000000001</v>
      </c>
    </row>
    <row r="707" spans="2:10" x14ac:dyDescent="0.2">
      <c r="B707" s="151" t="s">
        <v>268</v>
      </c>
      <c r="C707" s="151" t="s">
        <v>169</v>
      </c>
      <c r="D707" s="152" t="s">
        <v>60</v>
      </c>
      <c r="E707" s="152">
        <v>2008</v>
      </c>
      <c r="F707" s="158">
        <v>2013</v>
      </c>
      <c r="G707" s="183">
        <v>0.39400000000000002</v>
      </c>
      <c r="H707" s="183">
        <v>0.13600000000000001</v>
      </c>
    </row>
    <row r="708" spans="2:10" x14ac:dyDescent="0.2">
      <c r="B708" s="151" t="s">
        <v>644</v>
      </c>
      <c r="C708" s="151" t="s">
        <v>169</v>
      </c>
      <c r="D708" s="152" t="s">
        <v>60</v>
      </c>
      <c r="E708" s="152">
        <v>2009</v>
      </c>
      <c r="F708" s="158">
        <v>2010</v>
      </c>
      <c r="G708" s="183"/>
      <c r="H708" s="183">
        <v>0.68799999999999994</v>
      </c>
    </row>
    <row r="709" spans="2:10" x14ac:dyDescent="0.2">
      <c r="B709" s="151" t="s">
        <v>645</v>
      </c>
      <c r="C709" s="151" t="s">
        <v>169</v>
      </c>
      <c r="D709" s="152" t="s">
        <v>60</v>
      </c>
      <c r="E709" s="152">
        <v>2009</v>
      </c>
      <c r="F709" s="158">
        <v>2011</v>
      </c>
      <c r="G709" s="183"/>
      <c r="H709" s="183">
        <v>0.55600000000000005</v>
      </c>
    </row>
    <row r="710" spans="2:10" x14ac:dyDescent="0.2">
      <c r="B710" s="151" t="s">
        <v>646</v>
      </c>
      <c r="C710" s="151" t="s">
        <v>169</v>
      </c>
      <c r="D710" s="152" t="s">
        <v>60</v>
      </c>
      <c r="E710" s="152">
        <v>2009</v>
      </c>
      <c r="F710" s="158">
        <v>2012</v>
      </c>
      <c r="G710" s="183"/>
      <c r="H710" s="183"/>
    </row>
    <row r="711" spans="2:10" x14ac:dyDescent="0.2">
      <c r="B711" s="151" t="s">
        <v>269</v>
      </c>
      <c r="C711" s="151" t="s">
        <v>169</v>
      </c>
      <c r="D711" s="152" t="s">
        <v>60</v>
      </c>
      <c r="E711" s="152">
        <v>2009</v>
      </c>
      <c r="F711" s="158">
        <v>2013</v>
      </c>
      <c r="G711" s="183">
        <v>0.13600000000000001</v>
      </c>
      <c r="H711" s="183">
        <v>0.32500000000000001</v>
      </c>
    </row>
    <row r="712" spans="2:10" x14ac:dyDescent="0.2">
      <c r="B712" s="151" t="s">
        <v>647</v>
      </c>
      <c r="C712" s="151" t="s">
        <v>169</v>
      </c>
      <c r="D712" s="152" t="s">
        <v>60</v>
      </c>
      <c r="E712" s="152">
        <v>2010</v>
      </c>
      <c r="F712" s="158">
        <v>2011</v>
      </c>
      <c r="G712" s="183"/>
      <c r="H712" s="183">
        <v>0.73399999999999999</v>
      </c>
    </row>
    <row r="713" spans="2:10" x14ac:dyDescent="0.2">
      <c r="B713" s="151" t="s">
        <v>648</v>
      </c>
      <c r="C713" s="151" t="s">
        <v>169</v>
      </c>
      <c r="D713" s="152" t="s">
        <v>60</v>
      </c>
      <c r="E713" s="152">
        <v>2010</v>
      </c>
      <c r="F713" s="158">
        <v>2012</v>
      </c>
      <c r="G713" s="183"/>
      <c r="H713" s="183">
        <v>0.60099999999999998</v>
      </c>
    </row>
    <row r="714" spans="2:10" x14ac:dyDescent="0.2">
      <c r="B714" s="151" t="s">
        <v>270</v>
      </c>
      <c r="C714" s="151" t="s">
        <v>169</v>
      </c>
      <c r="D714" s="152" t="s">
        <v>60</v>
      </c>
      <c r="E714" s="152">
        <v>2010</v>
      </c>
      <c r="F714" s="158">
        <v>2013</v>
      </c>
      <c r="G714" s="183"/>
      <c r="H714" s="183"/>
    </row>
    <row r="715" spans="2:10" x14ac:dyDescent="0.2">
      <c r="B715" s="151" t="s">
        <v>649</v>
      </c>
      <c r="C715" s="151" t="s">
        <v>169</v>
      </c>
      <c r="D715" s="152" t="s">
        <v>60</v>
      </c>
      <c r="E715" s="152">
        <v>2011</v>
      </c>
      <c r="F715" s="158">
        <v>2012</v>
      </c>
      <c r="G715" s="183"/>
      <c r="H715" s="183">
        <v>0.71599999999999997</v>
      </c>
    </row>
    <row r="716" spans="2:10" x14ac:dyDescent="0.2">
      <c r="B716" s="151" t="s">
        <v>271</v>
      </c>
      <c r="C716" s="151" t="s">
        <v>169</v>
      </c>
      <c r="D716" s="152" t="s">
        <v>60</v>
      </c>
      <c r="E716" s="152">
        <v>2011</v>
      </c>
      <c r="F716" s="158">
        <v>2013</v>
      </c>
      <c r="G716" s="183"/>
      <c r="H716" s="183">
        <v>0.59399999999999997</v>
      </c>
      <c r="J716" s="143"/>
    </row>
    <row r="717" spans="2:10" x14ac:dyDescent="0.2">
      <c r="B717" s="151" t="s">
        <v>272</v>
      </c>
      <c r="C717" s="151" t="s">
        <v>169</v>
      </c>
      <c r="D717" s="152" t="s">
        <v>60</v>
      </c>
      <c r="E717" s="152">
        <v>2012</v>
      </c>
      <c r="F717" s="158">
        <v>2013</v>
      </c>
      <c r="G717" s="183"/>
      <c r="H717" s="183">
        <v>0.73</v>
      </c>
      <c r="J717" s="143"/>
    </row>
    <row r="718" spans="2:10" x14ac:dyDescent="0.2">
      <c r="B718" s="144"/>
      <c r="C718" s="163"/>
      <c r="D718" s="163"/>
      <c r="E718" s="163"/>
    </row>
    <row r="719" spans="2:10" x14ac:dyDescent="0.2">
      <c r="B719" s="144"/>
      <c r="C719" s="163"/>
      <c r="D719" s="163"/>
      <c r="E719" s="163"/>
      <c r="J719" s="143"/>
    </row>
    <row r="720" spans="2:10" x14ac:dyDescent="0.2">
      <c r="C720" s="154"/>
      <c r="F720" s="31"/>
      <c r="J720" s="143"/>
    </row>
    <row r="721" spans="2:10" x14ac:dyDescent="0.2">
      <c r="B721" s="144"/>
      <c r="C721" s="163"/>
      <c r="D721" s="163"/>
      <c r="E721" s="163"/>
      <c r="F721" s="163"/>
      <c r="G721" s="163"/>
      <c r="J721" s="143"/>
    </row>
    <row r="722" spans="2:10" x14ac:dyDescent="0.2">
      <c r="B722" s="144"/>
      <c r="C722" s="163"/>
      <c r="D722" s="163"/>
      <c r="J722" s="143"/>
    </row>
    <row r="723" spans="2:10" x14ac:dyDescent="0.2">
      <c r="B723" s="144"/>
      <c r="C723" s="163"/>
      <c r="D723" s="163"/>
      <c r="E723" s="154"/>
      <c r="J723" s="143"/>
    </row>
    <row r="724" spans="2:10" x14ac:dyDescent="0.2">
      <c r="B724" s="144"/>
      <c r="C724" s="163"/>
      <c r="D724" s="163"/>
      <c r="J724" s="143"/>
    </row>
    <row r="725" spans="2:10" x14ac:dyDescent="0.2">
      <c r="B725" s="144"/>
      <c r="C725" s="163"/>
      <c r="D725" s="163"/>
      <c r="J725" s="143"/>
    </row>
    <row r="726" spans="2:10" x14ac:dyDescent="0.2">
      <c r="B726" s="144"/>
      <c r="C726" s="163"/>
      <c r="D726" s="163"/>
      <c r="E726" s="31"/>
      <c r="J726" s="143"/>
    </row>
    <row r="727" spans="2:10" x14ac:dyDescent="0.2">
      <c r="B727" s="144"/>
      <c r="C727" s="163"/>
      <c r="D727" s="163"/>
      <c r="J727" s="143"/>
    </row>
    <row r="728" spans="2:10" x14ac:dyDescent="0.2">
      <c r="B728" s="144"/>
      <c r="C728" s="163"/>
      <c r="D728" s="163"/>
      <c r="J728" s="143"/>
    </row>
    <row r="729" spans="2:10" x14ac:dyDescent="0.2">
      <c r="B729" s="144"/>
      <c r="C729" s="163"/>
      <c r="D729" s="163"/>
      <c r="J729" s="143"/>
    </row>
    <row r="730" spans="2:10" x14ac:dyDescent="0.2">
      <c r="B730" s="144"/>
      <c r="C730" s="163"/>
      <c r="D730" s="163"/>
      <c r="J730" s="143"/>
    </row>
    <row r="731" spans="2:10" x14ac:dyDescent="0.2">
      <c r="B731" s="144"/>
      <c r="C731" s="163"/>
      <c r="D731" s="163"/>
      <c r="J731" s="143"/>
    </row>
    <row r="732" spans="2:10" x14ac:dyDescent="0.2">
      <c r="B732" s="144"/>
      <c r="C732" s="163"/>
      <c r="D732" s="163"/>
      <c r="J732" s="143"/>
    </row>
    <row r="733" spans="2:10" x14ac:dyDescent="0.2">
      <c r="B733" s="144"/>
      <c r="C733" s="163"/>
      <c r="D733" s="163"/>
      <c r="J733" s="143"/>
    </row>
    <row r="734" spans="2:10" x14ac:dyDescent="0.2">
      <c r="B734" s="144"/>
      <c r="C734" s="163"/>
      <c r="D734" s="163"/>
      <c r="J734" s="143"/>
    </row>
    <row r="735" spans="2:10" x14ac:dyDescent="0.2">
      <c r="B735" s="144"/>
      <c r="C735" s="163"/>
      <c r="D735" s="163"/>
      <c r="J735" s="143"/>
    </row>
    <row r="736" spans="2:10" x14ac:dyDescent="0.2">
      <c r="B736" s="144"/>
      <c r="C736" s="163"/>
      <c r="D736" s="163"/>
      <c r="J736" s="143"/>
    </row>
    <row r="737" spans="2:10" x14ac:dyDescent="0.2">
      <c r="B737" s="144"/>
      <c r="C737" s="163"/>
      <c r="D737" s="163"/>
      <c r="J737" s="143"/>
    </row>
    <row r="738" spans="2:10" x14ac:dyDescent="0.2">
      <c r="B738" s="144"/>
      <c r="C738" s="163"/>
      <c r="D738" s="163"/>
      <c r="J738" s="143"/>
    </row>
    <row r="739" spans="2:10" x14ac:dyDescent="0.2">
      <c r="B739" s="144"/>
      <c r="C739" s="163"/>
      <c r="D739" s="163"/>
      <c r="J739" s="143"/>
    </row>
    <row r="740" spans="2:10" x14ac:dyDescent="0.2">
      <c r="B740" s="144"/>
      <c r="C740" s="163"/>
      <c r="D740" s="163"/>
      <c r="J740" s="143"/>
    </row>
    <row r="741" spans="2:10" x14ac:dyDescent="0.2">
      <c r="B741" s="144"/>
      <c r="C741" s="163"/>
      <c r="D741" s="163"/>
      <c r="E741" s="163"/>
      <c r="J741" s="143"/>
    </row>
    <row r="742" spans="2:10" x14ac:dyDescent="0.2">
      <c r="B742" s="144"/>
      <c r="C742" s="163"/>
      <c r="D742" s="163"/>
      <c r="E742" s="163"/>
      <c r="J742" s="143"/>
    </row>
    <row r="743" spans="2:10" x14ac:dyDescent="0.2">
      <c r="B743" s="144"/>
      <c r="C743" s="163"/>
      <c r="D743" s="163"/>
      <c r="E743" s="163"/>
      <c r="J743" s="143"/>
    </row>
    <row r="744" spans="2:10" x14ac:dyDescent="0.2">
      <c r="B744" s="144"/>
      <c r="C744" s="163"/>
      <c r="D744" s="163"/>
      <c r="E744" s="163"/>
      <c r="J744" s="143"/>
    </row>
    <row r="745" spans="2:10" x14ac:dyDescent="0.2">
      <c r="B745" s="144"/>
      <c r="C745" s="163"/>
      <c r="D745" s="163"/>
      <c r="E745" s="163"/>
      <c r="J745" s="143"/>
    </row>
    <row r="746" spans="2:10" x14ac:dyDescent="0.2">
      <c r="B746" s="144"/>
      <c r="C746" s="163"/>
      <c r="D746" s="163"/>
      <c r="E746" s="163"/>
      <c r="J746" s="143"/>
    </row>
    <row r="747" spans="2:10" x14ac:dyDescent="0.2">
      <c r="B747" s="144"/>
      <c r="C747" s="163"/>
      <c r="D747" s="163"/>
      <c r="E747" s="163"/>
      <c r="J747" s="143"/>
    </row>
    <row r="748" spans="2:10" x14ac:dyDescent="0.2">
      <c r="B748" s="144"/>
      <c r="C748" s="163"/>
      <c r="D748" s="163"/>
      <c r="J748" s="143"/>
    </row>
    <row r="749" spans="2:10" x14ac:dyDescent="0.2">
      <c r="B749" s="144"/>
      <c r="C749" s="163"/>
      <c r="D749" s="163"/>
      <c r="E749" s="154"/>
      <c r="J749" s="143"/>
    </row>
    <row r="750" spans="2:10" x14ac:dyDescent="0.2">
      <c r="B750" s="144"/>
      <c r="C750" s="163"/>
      <c r="D750" s="163"/>
      <c r="J750" s="143"/>
    </row>
    <row r="751" spans="2:10" x14ac:dyDescent="0.2">
      <c r="B751" s="144"/>
      <c r="C751" s="163"/>
      <c r="D751" s="163"/>
      <c r="J751" s="143"/>
    </row>
    <row r="752" spans="2:10" x14ac:dyDescent="0.2">
      <c r="B752" s="144"/>
      <c r="C752" s="163"/>
      <c r="D752" s="163"/>
      <c r="E752" s="31"/>
      <c r="J752" s="143"/>
    </row>
    <row r="753" spans="2:10" x14ac:dyDescent="0.2">
      <c r="B753" s="144"/>
      <c r="C753" s="163"/>
      <c r="D753" s="163"/>
      <c r="J753" s="143"/>
    </row>
    <row r="754" spans="2:10" x14ac:dyDescent="0.2">
      <c r="B754" s="144"/>
      <c r="C754" s="163"/>
      <c r="D754" s="163"/>
      <c r="J754" s="143"/>
    </row>
    <row r="755" spans="2:10" x14ac:dyDescent="0.2">
      <c r="B755" s="144"/>
      <c r="C755" s="163"/>
      <c r="D755" s="163"/>
      <c r="J755" s="143"/>
    </row>
    <row r="756" spans="2:10" x14ac:dyDescent="0.2">
      <c r="B756" s="144"/>
      <c r="C756" s="163"/>
      <c r="D756" s="163"/>
      <c r="J756" s="143"/>
    </row>
    <row r="757" spans="2:10" x14ac:dyDescent="0.2">
      <c r="B757" s="144"/>
      <c r="D757" s="163"/>
      <c r="J757" s="143"/>
    </row>
    <row r="758" spans="2:10" x14ac:dyDescent="0.2">
      <c r="B758" s="144"/>
      <c r="D758" s="163"/>
      <c r="J758" s="143"/>
    </row>
    <row r="759" spans="2:10" x14ac:dyDescent="0.2">
      <c r="B759" s="144"/>
      <c r="D759" s="163"/>
      <c r="J759" s="143"/>
    </row>
    <row r="760" spans="2:10" x14ac:dyDescent="0.2">
      <c r="B760" s="144"/>
      <c r="D760" s="163"/>
      <c r="J760" s="143"/>
    </row>
    <row r="761" spans="2:10" x14ac:dyDescent="0.2">
      <c r="B761" s="144"/>
      <c r="D761" s="163"/>
      <c r="J761" s="143"/>
    </row>
    <row r="762" spans="2:10" x14ac:dyDescent="0.2">
      <c r="B762" s="144"/>
      <c r="D762" s="163"/>
      <c r="J762" s="143"/>
    </row>
    <row r="763" spans="2:10" x14ac:dyDescent="0.2">
      <c r="B763" s="144"/>
      <c r="D763" s="163"/>
      <c r="J763" s="143"/>
    </row>
    <row r="764" spans="2:10" x14ac:dyDescent="0.2">
      <c r="B764" s="144"/>
      <c r="D764" s="163"/>
      <c r="J764" s="143"/>
    </row>
    <row r="765" spans="2:10" x14ac:dyDescent="0.2">
      <c r="B765" s="144"/>
      <c r="D765" s="163"/>
      <c r="J765" s="143"/>
    </row>
    <row r="766" spans="2:10" x14ac:dyDescent="0.2">
      <c r="B766" s="144"/>
      <c r="D766" s="163"/>
      <c r="J766" s="143"/>
    </row>
    <row r="767" spans="2:10" x14ac:dyDescent="0.2">
      <c r="B767" s="144"/>
      <c r="C767" s="163"/>
      <c r="D767" s="163"/>
      <c r="J767" s="143"/>
    </row>
    <row r="768" spans="2:10" x14ac:dyDescent="0.2">
      <c r="B768" s="144"/>
      <c r="C768" s="163"/>
      <c r="D768" s="163"/>
      <c r="E768" s="154"/>
      <c r="J768" s="143"/>
    </row>
    <row r="769" spans="2:10" x14ac:dyDescent="0.2">
      <c r="B769" s="144"/>
      <c r="C769" s="163"/>
      <c r="D769" s="163"/>
      <c r="J769" s="143"/>
    </row>
    <row r="770" spans="2:10" x14ac:dyDescent="0.2">
      <c r="B770" s="144"/>
      <c r="C770" s="163"/>
      <c r="D770" s="163"/>
      <c r="J770" s="143"/>
    </row>
    <row r="771" spans="2:10" x14ac:dyDescent="0.2">
      <c r="B771" s="144"/>
      <c r="C771" s="163"/>
      <c r="D771" s="163"/>
      <c r="E771" s="31"/>
      <c r="J771" s="143"/>
    </row>
    <row r="772" spans="2:10" x14ac:dyDescent="0.2">
      <c r="B772" s="144"/>
      <c r="C772" s="163"/>
      <c r="D772" s="163"/>
      <c r="J772" s="143"/>
    </row>
    <row r="773" spans="2:10" x14ac:dyDescent="0.2">
      <c r="B773" s="144"/>
      <c r="C773" s="163"/>
      <c r="D773" s="163"/>
      <c r="J773" s="143"/>
    </row>
    <row r="774" spans="2:10" x14ac:dyDescent="0.2">
      <c r="B774" s="144"/>
      <c r="C774" s="163"/>
      <c r="D774" s="163"/>
      <c r="J774" s="143"/>
    </row>
    <row r="775" spans="2:10" x14ac:dyDescent="0.2">
      <c r="B775" s="144"/>
      <c r="C775" s="163"/>
      <c r="D775" s="163"/>
      <c r="J775" s="143"/>
    </row>
    <row r="776" spans="2:10" x14ac:dyDescent="0.2">
      <c r="B776" s="144"/>
      <c r="C776" s="163"/>
      <c r="D776" s="163"/>
      <c r="J776" s="143"/>
    </row>
    <row r="777" spans="2:10" x14ac:dyDescent="0.2">
      <c r="B777" s="144"/>
      <c r="C777" s="163"/>
      <c r="D777" s="163"/>
      <c r="J777" s="143"/>
    </row>
    <row r="778" spans="2:10" x14ac:dyDescent="0.2">
      <c r="B778" s="144"/>
      <c r="C778" s="163"/>
      <c r="D778" s="163"/>
      <c r="J778" s="143"/>
    </row>
    <row r="779" spans="2:10" x14ac:dyDescent="0.2">
      <c r="B779" s="144"/>
      <c r="C779" s="163"/>
      <c r="D779" s="163"/>
      <c r="J779" s="143"/>
    </row>
    <row r="780" spans="2:10" x14ac:dyDescent="0.2">
      <c r="B780" s="144"/>
      <c r="C780" s="163"/>
      <c r="D780" s="163"/>
      <c r="J780" s="143"/>
    </row>
    <row r="781" spans="2:10" x14ac:dyDescent="0.2">
      <c r="B781" s="144"/>
      <c r="C781" s="163"/>
      <c r="D781" s="163"/>
      <c r="J781" s="143"/>
    </row>
    <row r="782" spans="2:10" x14ac:dyDescent="0.2">
      <c r="B782" s="144"/>
      <c r="C782" s="163"/>
      <c r="D782" s="163"/>
      <c r="J782" s="143"/>
    </row>
    <row r="783" spans="2:10" x14ac:dyDescent="0.2">
      <c r="B783" s="144"/>
      <c r="C783" s="163"/>
      <c r="D783" s="163"/>
      <c r="J783" s="143"/>
    </row>
    <row r="784" spans="2:10" x14ac:dyDescent="0.2">
      <c r="B784" s="144"/>
      <c r="C784" s="163"/>
      <c r="D784" s="163"/>
      <c r="J784" s="143"/>
    </row>
    <row r="785" spans="2:10" x14ac:dyDescent="0.2">
      <c r="B785" s="144"/>
      <c r="C785" s="163"/>
      <c r="D785" s="163"/>
      <c r="J785" s="143"/>
    </row>
    <row r="786" spans="2:10" x14ac:dyDescent="0.2">
      <c r="B786" s="144"/>
      <c r="D786" s="163"/>
      <c r="E786" s="163"/>
      <c r="J786" s="143"/>
    </row>
    <row r="787" spans="2:10" x14ac:dyDescent="0.2">
      <c r="B787" s="144"/>
      <c r="D787" s="163"/>
      <c r="E787" s="163"/>
      <c r="J787" s="143"/>
    </row>
    <row r="788" spans="2:10" x14ac:dyDescent="0.2">
      <c r="B788" s="144"/>
      <c r="D788" s="163"/>
      <c r="E788" s="163"/>
      <c r="J788" s="143"/>
    </row>
    <row r="789" spans="2:10" x14ac:dyDescent="0.2">
      <c r="B789" s="144"/>
      <c r="D789" s="163"/>
      <c r="E789" s="163"/>
      <c r="J789" s="143"/>
    </row>
    <row r="790" spans="2:10" x14ac:dyDescent="0.2">
      <c r="B790" s="144"/>
      <c r="D790" s="163"/>
      <c r="E790" s="163"/>
      <c r="J790" s="143"/>
    </row>
    <row r="791" spans="2:10" x14ac:dyDescent="0.2">
      <c r="B791" s="144"/>
      <c r="D791" s="163"/>
      <c r="E791" s="163"/>
      <c r="J791" s="143"/>
    </row>
    <row r="792" spans="2:10" x14ac:dyDescent="0.2">
      <c r="B792" s="144"/>
      <c r="D792" s="163"/>
      <c r="E792" s="163"/>
    </row>
    <row r="793" spans="2:10" x14ac:dyDescent="0.2">
      <c r="B793" s="144"/>
      <c r="D793" s="163"/>
      <c r="E793" s="163"/>
    </row>
  </sheetData>
  <mergeCells count="3">
    <mergeCell ref="A1:K7"/>
    <mergeCell ref="B9:H9"/>
    <mergeCell ref="B124:H124"/>
  </mergeCells>
  <conditionalFormatting sqref="F11:H122">
    <cfRule type="expression" dxfId="30" priority="2">
      <formula>$C11="New"</formula>
    </cfRule>
  </conditionalFormatting>
  <conditionalFormatting sqref="G126:H237">
    <cfRule type="expression" dxfId="29" priority="250">
      <formula>$C126="New"</formula>
    </cfRule>
  </conditionalFormatting>
  <pageMargins left="0.7" right="0.7" top="0.75" bottom="0.75" header="0.3" footer="0.3"/>
  <pageSetup scale="67" fitToHeight="0" orientation="portrait" r:id="rId1"/>
  <headerFooter>
    <oddFooter>&amp;L© C-IDEA, The University of Oklahoma, 12/14/14</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indexed="48"/>
  </sheetPr>
  <dimension ref="A1:CE403"/>
  <sheetViews>
    <sheetView zoomScaleNormal="100" workbookViewId="0">
      <selection activeCell="U35" sqref="U35"/>
    </sheetView>
  </sheetViews>
  <sheetFormatPr defaultColWidth="9.140625" defaultRowHeight="12.75" x14ac:dyDescent="0.2"/>
  <cols>
    <col min="1" max="1" width="4.7109375" style="141" customWidth="1"/>
    <col min="2" max="2" width="6.28515625" style="141" customWidth="1"/>
    <col min="3" max="3" width="4.85546875" style="141" customWidth="1"/>
    <col min="4" max="4" width="11.28515625" style="141" customWidth="1"/>
    <col min="5" max="5" width="7" style="141" customWidth="1"/>
    <col min="6" max="6" width="6.140625" style="141" customWidth="1"/>
    <col min="7" max="7" width="2" style="141" customWidth="1"/>
    <col min="8" max="8" width="3" style="141" customWidth="1"/>
    <col min="9" max="9" width="8.42578125" style="141" customWidth="1"/>
    <col min="10" max="10" width="9.140625" style="141"/>
    <col min="11" max="11" width="9.5703125" style="141" customWidth="1"/>
    <col min="12" max="12" width="1.28515625" style="141" customWidth="1"/>
    <col min="13" max="13" width="9.140625" style="141"/>
    <col min="14" max="14" width="9.28515625" style="141" customWidth="1"/>
    <col min="15" max="15" width="6.85546875" style="141" hidden="1" customWidth="1"/>
    <col min="16" max="16" width="0.140625" style="141" hidden="1" customWidth="1"/>
    <col min="17" max="17" width="0.28515625" style="141" hidden="1" customWidth="1"/>
    <col min="18" max="18" width="0.28515625" style="141" customWidth="1"/>
    <col min="19" max="19" width="2.28515625" style="238" customWidth="1"/>
    <col min="20" max="83" width="9.140625" style="238"/>
    <col min="84" max="16384" width="9.140625" style="141"/>
  </cols>
  <sheetData>
    <row r="1" spans="1:83" s="169" customFormat="1" ht="26.25" customHeight="1" x14ac:dyDescent="0.25">
      <c r="A1" s="308" t="s">
        <v>762</v>
      </c>
      <c r="B1" s="309"/>
      <c r="C1" s="309"/>
      <c r="D1" s="309"/>
      <c r="E1" s="309"/>
      <c r="F1" s="309"/>
      <c r="G1" s="309"/>
      <c r="H1" s="309"/>
      <c r="I1" s="309"/>
      <c r="J1" s="309"/>
      <c r="K1" s="309"/>
      <c r="L1" s="309"/>
      <c r="M1" s="309"/>
      <c r="N1" s="309"/>
      <c r="O1" s="309"/>
      <c r="P1" s="309"/>
      <c r="Q1" s="309"/>
      <c r="R1" s="164"/>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240"/>
      <c r="CD1" s="240"/>
      <c r="CE1" s="240"/>
    </row>
    <row r="2" spans="1:83" s="169" customFormat="1" ht="15" customHeight="1" x14ac:dyDescent="0.25">
      <c r="A2" s="310" t="s">
        <v>129</v>
      </c>
      <c r="B2" s="311"/>
      <c r="C2" s="311"/>
      <c r="D2" s="311"/>
      <c r="E2" s="311"/>
      <c r="F2" s="311"/>
      <c r="G2" s="311"/>
      <c r="H2" s="311"/>
      <c r="I2" s="311"/>
      <c r="J2" s="311"/>
      <c r="K2" s="311"/>
      <c r="L2" s="311"/>
      <c r="M2" s="311"/>
      <c r="N2" s="311"/>
      <c r="O2" s="164"/>
      <c r="P2" s="164"/>
      <c r="Q2" s="164"/>
      <c r="R2" s="164"/>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40"/>
      <c r="CD2" s="240"/>
      <c r="CE2" s="240"/>
    </row>
    <row r="3" spans="1:83" s="169" customFormat="1" ht="12" customHeight="1" x14ac:dyDescent="0.2">
      <c r="A3" s="312" t="s">
        <v>108</v>
      </c>
      <c r="B3" s="312"/>
      <c r="C3" s="312"/>
      <c r="D3" s="312"/>
      <c r="E3" s="312"/>
      <c r="F3" s="312"/>
      <c r="G3" s="312"/>
      <c r="H3" s="312"/>
      <c r="I3" s="312"/>
      <c r="J3" s="312"/>
      <c r="K3" s="312"/>
      <c r="L3" s="312"/>
      <c r="M3" s="312"/>
      <c r="N3" s="312"/>
      <c r="O3" s="171"/>
      <c r="P3" s="171"/>
      <c r="Q3" s="171"/>
      <c r="R3" s="171"/>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c r="CC3" s="240"/>
      <c r="CD3" s="240"/>
      <c r="CE3" s="240"/>
    </row>
    <row r="4" spans="1:83" s="169" customFormat="1" ht="11.25" customHeight="1" x14ac:dyDescent="0.2">
      <c r="A4" s="312" t="s">
        <v>109</v>
      </c>
      <c r="B4" s="312"/>
      <c r="C4" s="312"/>
      <c r="D4" s="312"/>
      <c r="E4" s="312"/>
      <c r="F4" s="312"/>
      <c r="G4" s="312"/>
      <c r="H4" s="312"/>
      <c r="I4" s="312"/>
      <c r="J4" s="312"/>
      <c r="K4" s="312"/>
      <c r="L4" s="312"/>
      <c r="M4" s="312"/>
      <c r="N4" s="312"/>
      <c r="O4" s="171"/>
      <c r="P4" s="171"/>
      <c r="Q4" s="171"/>
      <c r="R4" s="171"/>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c r="BR4" s="240"/>
      <c r="BS4" s="240"/>
      <c r="BT4" s="240"/>
      <c r="BU4" s="240"/>
      <c r="BV4" s="240"/>
      <c r="BW4" s="240"/>
      <c r="BX4" s="240"/>
      <c r="BY4" s="240"/>
      <c r="BZ4" s="240"/>
      <c r="CA4" s="240"/>
      <c r="CB4" s="240"/>
      <c r="CC4" s="240"/>
      <c r="CD4" s="240"/>
      <c r="CE4" s="240"/>
    </row>
    <row r="5" spans="1:83" s="169" customFormat="1" ht="18.75" customHeight="1" x14ac:dyDescent="0.2">
      <c r="A5" s="313" t="s">
        <v>49</v>
      </c>
      <c r="B5" s="313"/>
      <c r="C5" s="313"/>
      <c r="D5" s="314"/>
      <c r="E5" s="314"/>
      <c r="F5" s="314"/>
      <c r="G5" s="314"/>
      <c r="H5" s="314"/>
      <c r="I5" s="314"/>
      <c r="J5" s="314"/>
      <c r="K5" s="314"/>
      <c r="L5" s="314"/>
      <c r="M5" s="314"/>
      <c r="N5" s="168"/>
      <c r="O5" s="168"/>
      <c r="P5" s="171"/>
      <c r="Q5" s="171"/>
      <c r="R5" s="171"/>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row>
    <row r="6" spans="1:83" ht="20.25" customHeight="1" x14ac:dyDescent="0.25">
      <c r="A6" s="2"/>
      <c r="B6" s="2"/>
      <c r="C6" s="2"/>
      <c r="D6" s="2"/>
      <c r="E6" s="2"/>
      <c r="F6" s="2"/>
      <c r="G6" s="2"/>
      <c r="H6" s="2"/>
      <c r="I6" s="2"/>
      <c r="J6" s="7" t="s">
        <v>758</v>
      </c>
      <c r="K6" s="8"/>
      <c r="L6" s="8"/>
      <c r="M6" s="7" t="s">
        <v>759</v>
      </c>
      <c r="N6" s="2"/>
      <c r="O6" s="2"/>
      <c r="P6" s="2"/>
      <c r="Q6" s="2"/>
      <c r="R6" s="2"/>
    </row>
    <row r="7" spans="1:83" ht="9" customHeight="1" x14ac:dyDescent="0.2">
      <c r="A7" s="304"/>
      <c r="B7" s="304"/>
      <c r="C7" s="304"/>
      <c r="D7" s="304"/>
      <c r="E7" s="304"/>
      <c r="F7" s="304"/>
      <c r="G7" s="304"/>
      <c r="H7" s="304"/>
      <c r="I7" s="304"/>
      <c r="J7" s="304"/>
      <c r="K7" s="304"/>
      <c r="L7" s="304"/>
      <c r="M7" s="304"/>
      <c r="N7" s="304"/>
      <c r="O7" s="2"/>
      <c r="P7" s="2"/>
      <c r="Q7" s="2"/>
      <c r="R7" s="2"/>
    </row>
    <row r="8" spans="1:83" ht="12.75" customHeight="1" x14ac:dyDescent="0.2">
      <c r="A8" s="30"/>
      <c r="B8" s="33" t="s">
        <v>19</v>
      </c>
      <c r="C8" s="2" t="s">
        <v>20</v>
      </c>
      <c r="D8" s="2"/>
      <c r="E8" s="2"/>
      <c r="F8" s="2"/>
      <c r="G8" s="2"/>
      <c r="H8" s="2"/>
      <c r="I8" s="2"/>
      <c r="J8" s="4">
        <v>7202</v>
      </c>
      <c r="K8" s="1"/>
      <c r="L8" s="1"/>
      <c r="M8" s="4">
        <v>6931</v>
      </c>
      <c r="N8" s="2"/>
      <c r="O8" s="2"/>
      <c r="P8" s="2"/>
      <c r="Q8" s="2"/>
      <c r="R8" s="2"/>
    </row>
    <row r="9" spans="1:83" s="14" customFormat="1" ht="12" customHeight="1" x14ac:dyDescent="0.2">
      <c r="A9" s="42"/>
      <c r="B9" s="42"/>
      <c r="C9" s="24" t="s">
        <v>101</v>
      </c>
      <c r="D9" s="1"/>
      <c r="E9" s="42"/>
      <c r="F9" s="42"/>
      <c r="G9" s="42"/>
      <c r="H9" s="42"/>
      <c r="I9" s="42"/>
      <c r="J9" s="42"/>
      <c r="K9" s="42"/>
      <c r="L9" s="42"/>
      <c r="M9" s="42"/>
      <c r="N9" s="42"/>
      <c r="O9" s="1"/>
      <c r="P9" s="1"/>
      <c r="Q9" s="1"/>
      <c r="R9" s="1"/>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row>
    <row r="10" spans="1:83" s="14" customFormat="1" ht="6" customHeight="1" x14ac:dyDescent="0.2">
      <c r="A10" s="42"/>
      <c r="B10" s="42"/>
      <c r="C10" s="24"/>
      <c r="D10" s="1"/>
      <c r="E10" s="42"/>
      <c r="F10" s="42"/>
      <c r="G10" s="42"/>
      <c r="H10" s="42"/>
      <c r="I10" s="42"/>
      <c r="J10" s="42"/>
      <c r="K10" s="42"/>
      <c r="L10" s="42"/>
      <c r="M10" s="42"/>
      <c r="N10" s="42"/>
      <c r="O10" s="1"/>
      <c r="P10" s="1"/>
      <c r="Q10" s="1"/>
      <c r="R10" s="1"/>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row>
    <row r="11" spans="1:83" ht="12.75" customHeight="1" x14ac:dyDescent="0.2">
      <c r="A11" s="30"/>
      <c r="B11" s="33" t="s">
        <v>21</v>
      </c>
      <c r="C11" s="2" t="s">
        <v>63</v>
      </c>
      <c r="D11" s="2"/>
      <c r="E11" s="2"/>
      <c r="F11" s="2"/>
      <c r="G11" s="2"/>
      <c r="H11" s="2"/>
      <c r="I11" s="2"/>
      <c r="J11" s="1"/>
      <c r="K11" s="1"/>
      <c r="L11" s="1"/>
      <c r="M11" s="1"/>
      <c r="N11" s="2"/>
      <c r="O11" s="2"/>
      <c r="P11" s="2"/>
      <c r="Q11" s="2"/>
      <c r="R11" s="2"/>
    </row>
    <row r="12" spans="1:83" ht="13.5" customHeight="1" x14ac:dyDescent="0.2">
      <c r="A12" s="2"/>
      <c r="B12" s="9"/>
      <c r="C12" s="2" t="s">
        <v>22</v>
      </c>
      <c r="D12" s="2" t="s">
        <v>23</v>
      </c>
      <c r="E12" s="2"/>
      <c r="F12" s="2"/>
      <c r="G12" s="2"/>
      <c r="H12" s="2"/>
      <c r="I12" s="2"/>
      <c r="J12" s="4">
        <v>4770</v>
      </c>
      <c r="K12" s="1"/>
      <c r="L12" s="1"/>
      <c r="M12" s="4">
        <v>4852</v>
      </c>
      <c r="N12" s="2"/>
      <c r="O12" s="2"/>
      <c r="P12" s="2"/>
      <c r="Q12" s="2"/>
      <c r="R12" s="2"/>
    </row>
    <row r="13" spans="1:83" ht="13.5" customHeight="1" x14ac:dyDescent="0.2">
      <c r="A13" s="2"/>
      <c r="B13" s="9"/>
      <c r="C13" s="2" t="s">
        <v>24</v>
      </c>
      <c r="D13" s="2" t="s">
        <v>25</v>
      </c>
      <c r="E13" s="2"/>
      <c r="F13" s="2"/>
      <c r="G13" s="2"/>
      <c r="H13" s="2"/>
      <c r="I13" s="2"/>
      <c r="J13" s="6">
        <v>1151</v>
      </c>
      <c r="K13" s="1"/>
      <c r="L13" s="1"/>
      <c r="M13" s="6">
        <v>1141</v>
      </c>
      <c r="N13" s="2"/>
      <c r="O13" s="2"/>
      <c r="P13" s="2"/>
      <c r="Q13" s="2"/>
      <c r="R13" s="2"/>
    </row>
    <row r="14" spans="1:83" ht="13.5" customHeight="1" x14ac:dyDescent="0.2">
      <c r="A14" s="2"/>
      <c r="B14" s="9"/>
      <c r="C14" s="2" t="s">
        <v>26</v>
      </c>
      <c r="D14" s="2" t="s">
        <v>27</v>
      </c>
      <c r="E14" s="2"/>
      <c r="F14" s="2"/>
      <c r="G14" s="2"/>
      <c r="H14" s="2"/>
      <c r="I14" s="2"/>
      <c r="J14" s="6">
        <v>5485</v>
      </c>
      <c r="K14" s="1"/>
      <c r="L14" s="1"/>
      <c r="M14" s="6">
        <v>5616</v>
      </c>
      <c r="N14" s="2"/>
      <c r="O14" s="2"/>
      <c r="P14" s="2"/>
      <c r="Q14" s="2"/>
      <c r="R14" s="2"/>
    </row>
    <row r="15" spans="1:83" ht="13.5" customHeight="1" x14ac:dyDescent="0.2">
      <c r="A15" s="2"/>
      <c r="B15" s="9"/>
      <c r="C15" s="2" t="s">
        <v>28</v>
      </c>
      <c r="D15" s="2" t="s">
        <v>29</v>
      </c>
      <c r="E15" s="2"/>
      <c r="F15" s="2"/>
      <c r="G15" s="2"/>
      <c r="H15" s="2"/>
      <c r="I15" s="2"/>
      <c r="J15" s="6">
        <v>436</v>
      </c>
      <c r="K15" s="5"/>
      <c r="L15" s="5"/>
      <c r="M15" s="6">
        <v>377</v>
      </c>
      <c r="N15" s="3"/>
      <c r="O15" s="2"/>
      <c r="P15" s="2"/>
      <c r="Q15" s="2"/>
      <c r="R15" s="2"/>
    </row>
    <row r="16" spans="1:83" ht="13.5" customHeight="1" x14ac:dyDescent="0.2">
      <c r="A16" s="2"/>
      <c r="B16" s="9"/>
      <c r="C16" s="2" t="s">
        <v>30</v>
      </c>
      <c r="D16" s="10" t="s">
        <v>64</v>
      </c>
      <c r="E16" s="2"/>
      <c r="F16" s="2"/>
      <c r="G16" s="2"/>
      <c r="H16" s="2"/>
      <c r="I16" s="2"/>
      <c r="J16" s="25">
        <f>IF(ISBLANK(J15)," ",IF(SUM(J12+J13)=SUM(J14+J15), SUM(J12+J13), "Error"))</f>
        <v>5921</v>
      </c>
      <c r="K16" s="5"/>
      <c r="L16" s="5"/>
      <c r="M16" s="25">
        <f>IF(ISBLANK(M15)," ",IF(SUM(M12+M13)=SUM(M14+M15), SUM(M12+M13), "Error"))</f>
        <v>5993</v>
      </c>
      <c r="N16" s="3"/>
      <c r="O16" s="2"/>
      <c r="P16" s="2"/>
      <c r="Q16" s="2"/>
      <c r="R16" s="2"/>
    </row>
    <row r="17" spans="1:83" s="169" customFormat="1" ht="17.25" customHeight="1" x14ac:dyDescent="0.2">
      <c r="A17" s="171"/>
      <c r="B17" s="9"/>
      <c r="C17" s="171"/>
      <c r="D17" s="11" t="s">
        <v>65</v>
      </c>
      <c r="E17" s="11"/>
      <c r="F17" s="12"/>
      <c r="G17" s="12"/>
      <c r="H17" s="12"/>
      <c r="I17" s="12"/>
      <c r="J17" s="12"/>
      <c r="K17" s="12"/>
      <c r="L17" s="12"/>
      <c r="M17" s="12"/>
      <c r="N17" s="171"/>
      <c r="O17" s="171"/>
      <c r="P17" s="171"/>
      <c r="Q17" s="171"/>
      <c r="R17" s="171"/>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240"/>
      <c r="CD17" s="240"/>
      <c r="CE17" s="240"/>
    </row>
    <row r="18" spans="1:83" s="169" customFormat="1" ht="9.75" customHeight="1" x14ac:dyDescent="0.2">
      <c r="A18" s="304"/>
      <c r="B18" s="304"/>
      <c r="C18" s="304"/>
      <c r="D18" s="304"/>
      <c r="E18" s="304"/>
      <c r="F18" s="304"/>
      <c r="G18" s="304"/>
      <c r="H18" s="304"/>
      <c r="I18" s="304"/>
      <c r="J18" s="304"/>
      <c r="K18" s="304"/>
      <c r="L18" s="304"/>
      <c r="M18" s="304"/>
      <c r="N18" s="304"/>
      <c r="O18" s="171"/>
      <c r="P18" s="171"/>
      <c r="Q18" s="171"/>
      <c r="R18" s="171"/>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row>
    <row r="19" spans="1:83" ht="12.75" customHeight="1" x14ac:dyDescent="0.2">
      <c r="A19" s="2"/>
      <c r="B19" s="33" t="s">
        <v>31</v>
      </c>
      <c r="C19" s="17" t="s">
        <v>93</v>
      </c>
      <c r="D19" s="2"/>
      <c r="E19" s="2"/>
      <c r="F19" s="2"/>
      <c r="G19" s="2"/>
      <c r="H19" s="2"/>
      <c r="I19" s="2"/>
      <c r="J19" s="5"/>
      <c r="K19" s="1"/>
      <c r="L19" s="1"/>
      <c r="M19" s="5"/>
      <c r="N19" s="2"/>
      <c r="O19" s="2"/>
      <c r="P19" s="2"/>
      <c r="Q19" s="2"/>
      <c r="R19" s="2"/>
    </row>
    <row r="20" spans="1:83" ht="13.5" customHeight="1" x14ac:dyDescent="0.2">
      <c r="A20" s="2"/>
      <c r="B20" s="9"/>
      <c r="C20" s="2" t="s">
        <v>22</v>
      </c>
      <c r="D20" s="2" t="s">
        <v>32</v>
      </c>
      <c r="E20" s="2"/>
      <c r="F20" s="2"/>
      <c r="G20" s="2"/>
      <c r="H20" s="2"/>
      <c r="I20" s="2"/>
      <c r="J20" s="4">
        <v>2</v>
      </c>
      <c r="K20" s="1" t="s">
        <v>33</v>
      </c>
      <c r="L20" s="1"/>
      <c r="M20" s="4">
        <v>1</v>
      </c>
      <c r="N20" s="2" t="s">
        <v>33</v>
      </c>
      <c r="O20" s="2"/>
      <c r="P20" s="2"/>
      <c r="Q20" s="2"/>
      <c r="R20" s="2"/>
    </row>
    <row r="21" spans="1:83" ht="13.5" customHeight="1" x14ac:dyDescent="0.2">
      <c r="A21" s="2"/>
      <c r="B21" s="9"/>
      <c r="C21" s="2" t="s">
        <v>24</v>
      </c>
      <c r="D21" s="2" t="s">
        <v>34</v>
      </c>
      <c r="E21" s="2"/>
      <c r="F21" s="2"/>
      <c r="G21" s="2"/>
      <c r="H21" s="2"/>
      <c r="I21" s="2"/>
      <c r="J21" s="6">
        <v>45</v>
      </c>
      <c r="K21" s="1" t="s">
        <v>33</v>
      </c>
      <c r="L21" s="1"/>
      <c r="M21" s="6">
        <v>49</v>
      </c>
      <c r="N21" s="2" t="s">
        <v>33</v>
      </c>
      <c r="O21" s="2"/>
      <c r="P21" s="2"/>
      <c r="Q21" s="2"/>
      <c r="R21" s="2"/>
    </row>
    <row r="22" spans="1:83" ht="13.5" customHeight="1" x14ac:dyDescent="0.2">
      <c r="A22" s="2"/>
      <c r="B22" s="9"/>
      <c r="C22" s="2" t="s">
        <v>26</v>
      </c>
      <c r="D22" s="2" t="s">
        <v>61</v>
      </c>
      <c r="E22" s="2"/>
      <c r="F22" s="2"/>
      <c r="G22" s="2"/>
      <c r="H22" s="2"/>
      <c r="I22" s="2"/>
      <c r="J22" s="6">
        <v>17</v>
      </c>
      <c r="K22" s="1" t="s">
        <v>33</v>
      </c>
      <c r="L22" s="1"/>
      <c r="M22" s="6">
        <v>23</v>
      </c>
      <c r="N22" s="2" t="s">
        <v>33</v>
      </c>
      <c r="O22" s="2"/>
      <c r="P22" s="2"/>
      <c r="Q22" s="2"/>
      <c r="R22" s="2"/>
    </row>
    <row r="23" spans="1:83" s="14" customFormat="1" ht="9.75" customHeight="1" x14ac:dyDescent="0.2">
      <c r="A23" s="315"/>
      <c r="B23" s="315"/>
      <c r="C23" s="315"/>
      <c r="D23" s="315"/>
      <c r="E23" s="315"/>
      <c r="F23" s="315"/>
      <c r="G23" s="315"/>
      <c r="H23" s="315"/>
      <c r="I23" s="315"/>
      <c r="J23" s="315"/>
      <c r="K23" s="315"/>
      <c r="L23" s="315"/>
      <c r="M23" s="315"/>
      <c r="N23" s="315"/>
      <c r="O23" s="1"/>
      <c r="P23" s="1"/>
      <c r="Q23" s="1"/>
      <c r="R23" s="1"/>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246"/>
      <c r="CD23" s="246"/>
      <c r="CE23" s="246"/>
    </row>
    <row r="24" spans="1:83" ht="13.5" customHeight="1" x14ac:dyDescent="0.2">
      <c r="A24" s="2"/>
      <c r="B24" s="33" t="s">
        <v>35</v>
      </c>
      <c r="C24" s="17" t="s">
        <v>100</v>
      </c>
      <c r="D24" s="2"/>
      <c r="E24" s="2"/>
      <c r="F24" s="2"/>
      <c r="G24" s="2"/>
      <c r="H24" s="2"/>
      <c r="I24" s="2"/>
      <c r="J24" s="3"/>
      <c r="K24" s="2"/>
      <c r="L24" s="2"/>
      <c r="M24" s="3"/>
      <c r="N24" s="2"/>
      <c r="O24" s="2"/>
      <c r="P24" s="2"/>
      <c r="Q24" s="2"/>
      <c r="R24" s="2"/>
    </row>
    <row r="25" spans="1:83" ht="12" customHeight="1" x14ac:dyDescent="0.2">
      <c r="A25" s="2"/>
      <c r="B25" s="33"/>
      <c r="C25" s="17" t="s">
        <v>94</v>
      </c>
      <c r="D25" s="2"/>
      <c r="E25" s="2"/>
      <c r="F25" s="2"/>
      <c r="G25" s="2"/>
      <c r="H25" s="2"/>
      <c r="I25" s="2"/>
      <c r="J25" s="3"/>
      <c r="K25" s="2"/>
      <c r="L25" s="2"/>
      <c r="M25" s="3"/>
      <c r="N25" s="2"/>
      <c r="O25" s="2"/>
      <c r="P25" s="2"/>
      <c r="Q25" s="2"/>
      <c r="R25" s="2"/>
    </row>
    <row r="26" spans="1:83" ht="12" customHeight="1" x14ac:dyDescent="0.2">
      <c r="A26" s="2"/>
      <c r="B26" s="9"/>
      <c r="C26" s="2" t="s">
        <v>36</v>
      </c>
      <c r="D26" s="2" t="s">
        <v>37</v>
      </c>
      <c r="E26" s="2"/>
      <c r="F26" s="2"/>
      <c r="G26" s="2"/>
      <c r="H26" s="2"/>
      <c r="I26" s="2"/>
      <c r="J26" s="4"/>
      <c r="K26" s="1" t="s">
        <v>33</v>
      </c>
      <c r="L26" s="1"/>
      <c r="M26" s="4"/>
      <c r="N26" s="2" t="s">
        <v>33</v>
      </c>
      <c r="O26" s="2"/>
      <c r="P26" s="2"/>
      <c r="Q26" s="2"/>
      <c r="R26" s="2"/>
    </row>
    <row r="27" spans="1:83" s="14" customFormat="1" ht="1.5" customHeight="1" x14ac:dyDescent="0.2">
      <c r="A27" s="1"/>
      <c r="B27" s="23"/>
      <c r="C27" s="1"/>
      <c r="D27" s="1"/>
      <c r="E27" s="1"/>
      <c r="F27" s="1"/>
      <c r="G27" s="1"/>
      <c r="H27" s="1"/>
      <c r="I27" s="1"/>
      <c r="J27" s="5"/>
      <c r="K27" s="1"/>
      <c r="L27" s="1"/>
      <c r="M27" s="5"/>
      <c r="N27" s="1"/>
      <c r="O27" s="1"/>
      <c r="P27" s="1"/>
      <c r="Q27" s="1"/>
      <c r="R27" s="1"/>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c r="CA27" s="246"/>
      <c r="CB27" s="246"/>
      <c r="CC27" s="246"/>
      <c r="CD27" s="246"/>
      <c r="CE27" s="246"/>
    </row>
    <row r="28" spans="1:83" ht="12" customHeight="1" x14ac:dyDescent="0.2">
      <c r="A28" s="2"/>
      <c r="B28" s="9"/>
      <c r="C28" s="2" t="s">
        <v>24</v>
      </c>
      <c r="D28" s="20" t="s">
        <v>38</v>
      </c>
      <c r="E28" s="20"/>
      <c r="F28" s="2"/>
      <c r="G28" s="2"/>
      <c r="H28" s="2"/>
      <c r="I28" s="2"/>
      <c r="J28" s="4"/>
      <c r="K28" s="1" t="s">
        <v>33</v>
      </c>
      <c r="L28" s="1"/>
      <c r="M28" s="4"/>
      <c r="N28" s="2" t="s">
        <v>33</v>
      </c>
      <c r="O28" s="2"/>
      <c r="P28" s="2"/>
      <c r="Q28" s="2"/>
      <c r="R28" s="2"/>
    </row>
    <row r="29" spans="1:83" s="14" customFormat="1" ht="1.5" customHeight="1" x14ac:dyDescent="0.2">
      <c r="A29" s="1"/>
      <c r="B29" s="23"/>
      <c r="C29" s="1"/>
      <c r="D29" s="24"/>
      <c r="E29" s="24"/>
      <c r="F29" s="1"/>
      <c r="G29" s="1"/>
      <c r="H29" s="1"/>
      <c r="I29" s="1"/>
      <c r="J29" s="5"/>
      <c r="K29" s="1"/>
      <c r="L29" s="1"/>
      <c r="M29" s="5"/>
      <c r="N29" s="1"/>
      <c r="O29" s="1"/>
      <c r="P29" s="1"/>
      <c r="Q29" s="1"/>
      <c r="R29" s="1"/>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6"/>
      <c r="AP29" s="246"/>
      <c r="AQ29" s="246"/>
      <c r="AR29" s="246"/>
      <c r="AS29" s="246"/>
      <c r="AT29" s="246"/>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6"/>
      <c r="BY29" s="246"/>
      <c r="BZ29" s="246"/>
      <c r="CA29" s="246"/>
      <c r="CB29" s="246"/>
      <c r="CC29" s="246"/>
      <c r="CD29" s="246"/>
      <c r="CE29" s="246"/>
    </row>
    <row r="30" spans="1:83" ht="12" customHeight="1" x14ac:dyDescent="0.2">
      <c r="A30" s="2"/>
      <c r="B30" s="9"/>
      <c r="C30" s="2" t="s">
        <v>26</v>
      </c>
      <c r="D30" s="20" t="s">
        <v>39</v>
      </c>
      <c r="E30" s="20"/>
      <c r="F30" s="2"/>
      <c r="G30" s="2"/>
      <c r="H30" s="2"/>
      <c r="I30" s="2"/>
      <c r="J30" s="4"/>
      <c r="K30" s="1" t="s">
        <v>33</v>
      </c>
      <c r="L30" s="1"/>
      <c r="M30" s="4"/>
      <c r="N30" s="2" t="s">
        <v>33</v>
      </c>
      <c r="O30" s="2"/>
      <c r="P30" s="2"/>
      <c r="Q30" s="2"/>
      <c r="R30" s="2"/>
    </row>
    <row r="31" spans="1:83" ht="24.75" customHeight="1" x14ac:dyDescent="0.2">
      <c r="A31" s="2"/>
      <c r="B31" s="9"/>
      <c r="C31" s="2" t="s">
        <v>13</v>
      </c>
      <c r="D31" s="316" t="s">
        <v>70</v>
      </c>
      <c r="E31" s="316"/>
      <c r="F31" s="316"/>
      <c r="G31" s="316"/>
      <c r="H31" s="316"/>
      <c r="I31" s="316"/>
      <c r="J31" s="5" t="str">
        <f>IF(SUM(J26:J30)&lt;=100," ","Error")</f>
        <v xml:space="preserve"> </v>
      </c>
      <c r="K31" s="1"/>
      <c r="L31" s="1"/>
      <c r="M31" s="5" t="str">
        <f>IF(SUM(M26:M30)&lt;=100," ","Error")</f>
        <v xml:space="preserve"> </v>
      </c>
      <c r="N31" s="2"/>
      <c r="O31" s="2"/>
      <c r="P31" s="2"/>
      <c r="Q31" s="2"/>
      <c r="R31" s="2"/>
    </row>
    <row r="32" spans="1:83" ht="9.75" customHeight="1" x14ac:dyDescent="0.2">
      <c r="A32" s="2"/>
      <c r="B32" s="9"/>
      <c r="C32" s="2"/>
      <c r="D32" s="170"/>
      <c r="E32" s="170"/>
      <c r="F32" s="170"/>
      <c r="G32" s="170"/>
      <c r="H32" s="170"/>
      <c r="I32" s="170"/>
      <c r="J32" s="5"/>
      <c r="K32" s="1"/>
      <c r="L32" s="1"/>
      <c r="M32" s="5"/>
      <c r="N32" s="2"/>
      <c r="O32" s="2"/>
      <c r="P32" s="2"/>
      <c r="Q32" s="2"/>
      <c r="R32" s="2"/>
    </row>
    <row r="33" spans="1:18" ht="12" customHeight="1" x14ac:dyDescent="0.2">
      <c r="A33" s="30"/>
      <c r="B33" s="9" t="s">
        <v>71</v>
      </c>
      <c r="C33" s="2" t="s">
        <v>104</v>
      </c>
      <c r="D33" s="170"/>
      <c r="E33" s="170"/>
      <c r="F33" s="170"/>
      <c r="G33" s="170"/>
      <c r="H33" s="170"/>
      <c r="I33" s="170"/>
      <c r="J33" s="5"/>
      <c r="K33" s="1"/>
      <c r="L33" s="1"/>
      <c r="M33" s="5"/>
      <c r="N33" s="2"/>
      <c r="O33" s="2"/>
      <c r="P33" s="2"/>
      <c r="Q33" s="2"/>
      <c r="R33" s="2"/>
    </row>
    <row r="34" spans="1:18" ht="12" customHeight="1" x14ac:dyDescent="0.2">
      <c r="A34" s="2"/>
      <c r="B34" s="9"/>
      <c r="C34" s="2" t="s">
        <v>143</v>
      </c>
      <c r="D34" s="170"/>
      <c r="E34" s="170"/>
      <c r="F34" s="170"/>
      <c r="G34" s="170"/>
      <c r="H34" s="59"/>
      <c r="I34" s="170"/>
      <c r="J34" s="5"/>
      <c r="K34" s="1"/>
      <c r="L34" s="1"/>
      <c r="M34" s="5"/>
      <c r="N34" s="2"/>
      <c r="O34" s="2"/>
      <c r="P34" s="2"/>
      <c r="Q34" s="2"/>
      <c r="R34" s="2"/>
    </row>
    <row r="35" spans="1:18" ht="12" customHeight="1" x14ac:dyDescent="0.2">
      <c r="A35" s="2"/>
      <c r="B35" s="9"/>
      <c r="C35" s="2" t="s">
        <v>105</v>
      </c>
      <c r="D35" s="170"/>
      <c r="E35" s="170"/>
      <c r="F35" s="170"/>
      <c r="G35" s="170"/>
      <c r="H35" s="170"/>
      <c r="I35" s="170"/>
      <c r="J35" s="5"/>
      <c r="K35" s="1"/>
      <c r="L35" s="1"/>
      <c r="M35" s="5"/>
      <c r="N35" s="2"/>
      <c r="O35" s="2"/>
      <c r="P35" s="2"/>
      <c r="Q35" s="2"/>
      <c r="R35" s="2"/>
    </row>
    <row r="36" spans="1:18" ht="12" customHeight="1" x14ac:dyDescent="0.2">
      <c r="A36" s="2"/>
      <c r="B36" s="9"/>
      <c r="C36" s="2" t="s">
        <v>130</v>
      </c>
      <c r="D36" s="170"/>
      <c r="E36" s="170"/>
      <c r="F36" s="170"/>
      <c r="G36" s="170"/>
      <c r="H36" s="170"/>
      <c r="I36" s="170"/>
      <c r="J36" s="4">
        <v>33.5</v>
      </c>
      <c r="K36" s="1" t="s">
        <v>33</v>
      </c>
      <c r="L36" s="1"/>
      <c r="M36" s="4"/>
      <c r="N36" s="2" t="s">
        <v>33</v>
      </c>
      <c r="O36" s="2"/>
      <c r="P36" s="2"/>
      <c r="Q36" s="2"/>
      <c r="R36" s="2"/>
    </row>
    <row r="37" spans="1:18" ht="9.75" customHeight="1" x14ac:dyDescent="0.2">
      <c r="A37" s="2"/>
      <c r="B37" s="9"/>
      <c r="C37" s="2"/>
      <c r="D37" s="170"/>
      <c r="E37" s="170"/>
      <c r="F37" s="170"/>
      <c r="G37" s="170"/>
      <c r="H37" s="170"/>
      <c r="I37" s="170"/>
      <c r="J37" s="5"/>
      <c r="K37" s="1"/>
      <c r="L37" s="1"/>
      <c r="M37" s="5"/>
      <c r="N37" s="2"/>
      <c r="O37" s="2"/>
      <c r="P37" s="2"/>
      <c r="Q37" s="2"/>
      <c r="R37" s="2"/>
    </row>
    <row r="38" spans="1:18" ht="13.5" customHeight="1" x14ac:dyDescent="0.2">
      <c r="A38" s="30"/>
      <c r="B38" s="33" t="s">
        <v>44</v>
      </c>
      <c r="C38" s="317" t="s">
        <v>47</v>
      </c>
      <c r="D38" s="317"/>
      <c r="E38" s="317"/>
      <c r="F38" s="317"/>
      <c r="G38" s="317"/>
      <c r="H38" s="317"/>
      <c r="I38" s="317"/>
      <c r="J38" s="317"/>
      <c r="K38" s="317"/>
      <c r="L38" s="317"/>
      <c r="M38" s="317"/>
      <c r="N38" s="317"/>
      <c r="O38" s="317"/>
      <c r="P38" s="2"/>
      <c r="Q38" s="2"/>
      <c r="R38" s="2"/>
    </row>
    <row r="39" spans="1:18" ht="12" customHeight="1" x14ac:dyDescent="0.2">
      <c r="A39" s="2"/>
      <c r="B39" s="9"/>
      <c r="C39" s="171" t="s">
        <v>98</v>
      </c>
      <c r="D39" s="171"/>
      <c r="E39" s="171"/>
      <c r="F39" s="171"/>
      <c r="G39" s="171"/>
      <c r="H39" s="171"/>
      <c r="I39" s="171"/>
      <c r="J39" s="171"/>
      <c r="K39" s="171"/>
      <c r="L39" s="171"/>
      <c r="M39" s="171"/>
      <c r="N39" s="171"/>
      <c r="O39" s="171"/>
      <c r="P39" s="2"/>
      <c r="Q39" s="2"/>
      <c r="R39" s="2"/>
    </row>
    <row r="40" spans="1:18" ht="13.5" customHeight="1" x14ac:dyDescent="0.2">
      <c r="A40" s="2"/>
      <c r="B40" s="9"/>
      <c r="C40" s="21"/>
      <c r="D40" s="307" t="s">
        <v>83</v>
      </c>
      <c r="E40" s="307"/>
      <c r="F40" s="307"/>
      <c r="G40" s="303" t="s">
        <v>89</v>
      </c>
      <c r="H40" s="303"/>
      <c r="I40" s="303"/>
      <c r="J40" s="303"/>
      <c r="K40" s="303"/>
      <c r="L40" s="303"/>
      <c r="M40" s="303"/>
      <c r="N40" s="171"/>
      <c r="O40" s="171"/>
      <c r="P40" s="2"/>
      <c r="Q40" s="2"/>
      <c r="R40" s="2"/>
    </row>
    <row r="41" spans="1:18" ht="10.5" customHeight="1" x14ac:dyDescent="0.2">
      <c r="A41" s="2"/>
      <c r="B41" s="9"/>
      <c r="C41" s="21"/>
      <c r="D41" s="22"/>
      <c r="E41" s="22"/>
      <c r="F41" s="22"/>
      <c r="G41" s="303" t="s">
        <v>87</v>
      </c>
      <c r="H41" s="303"/>
      <c r="I41" s="303"/>
      <c r="J41" s="303"/>
      <c r="K41" s="303"/>
      <c r="L41" s="303"/>
      <c r="M41" s="22"/>
      <c r="N41" s="171"/>
      <c r="O41" s="171"/>
      <c r="P41" s="2"/>
      <c r="Q41" s="2"/>
      <c r="R41" s="2"/>
    </row>
    <row r="42" spans="1:18" ht="10.5" customHeight="1" x14ac:dyDescent="0.2">
      <c r="A42" s="2"/>
      <c r="B42" s="9"/>
      <c r="C42" s="21"/>
      <c r="D42" s="22"/>
      <c r="E42" s="22"/>
      <c r="F42" s="22"/>
      <c r="G42" s="303" t="s">
        <v>85</v>
      </c>
      <c r="H42" s="303"/>
      <c r="I42" s="303"/>
      <c r="J42" s="303"/>
      <c r="K42" s="303"/>
      <c r="L42" s="303"/>
      <c r="M42" s="303"/>
      <c r="N42" s="171"/>
      <c r="O42" s="171"/>
      <c r="P42" s="2"/>
      <c r="Q42" s="2"/>
      <c r="R42" s="2"/>
    </row>
    <row r="43" spans="1:18" ht="10.5" customHeight="1" x14ac:dyDescent="0.2">
      <c r="A43" s="2"/>
      <c r="B43" s="9"/>
      <c r="C43" s="21"/>
      <c r="D43" s="22"/>
      <c r="E43" s="22"/>
      <c r="F43" s="22"/>
      <c r="G43" s="303" t="s">
        <v>86</v>
      </c>
      <c r="H43" s="303"/>
      <c r="I43" s="303"/>
      <c r="J43" s="303"/>
      <c r="K43" s="303"/>
      <c r="L43" s="303"/>
      <c r="M43" s="22"/>
      <c r="N43" s="171"/>
      <c r="O43" s="171"/>
      <c r="P43" s="2"/>
      <c r="Q43" s="2"/>
      <c r="R43" s="2"/>
    </row>
    <row r="44" spans="1:18" ht="15" customHeight="1" x14ac:dyDescent="0.2">
      <c r="A44" s="2"/>
      <c r="B44" s="9"/>
      <c r="C44" s="2" t="s">
        <v>22</v>
      </c>
      <c r="D44" s="2" t="s">
        <v>40</v>
      </c>
      <c r="E44" s="2"/>
      <c r="F44" s="2"/>
      <c r="G44" s="2"/>
      <c r="H44" s="2"/>
      <c r="I44" s="2"/>
      <c r="J44" s="56">
        <v>21.1</v>
      </c>
      <c r="K44" s="1"/>
      <c r="L44" s="1"/>
      <c r="M44" s="4">
        <v>21.8</v>
      </c>
      <c r="N44" s="2"/>
      <c r="O44" s="2"/>
      <c r="P44" s="2"/>
      <c r="Q44" s="2"/>
      <c r="R44" s="2"/>
    </row>
    <row r="45" spans="1:18" ht="13.5" customHeight="1" x14ac:dyDescent="0.2">
      <c r="A45" s="2"/>
      <c r="B45" s="9"/>
      <c r="C45" s="2" t="s">
        <v>24</v>
      </c>
      <c r="D45" s="2" t="s">
        <v>41</v>
      </c>
      <c r="E45" s="2"/>
      <c r="F45" s="2"/>
      <c r="G45" s="2"/>
      <c r="H45" s="2"/>
      <c r="I45" s="2"/>
      <c r="J45" s="6"/>
      <c r="K45" s="1"/>
      <c r="L45" s="1"/>
      <c r="M45" s="6"/>
      <c r="N45" s="2"/>
      <c r="O45" s="2"/>
      <c r="P45" s="2"/>
      <c r="Q45" s="2"/>
      <c r="R45" s="2"/>
    </row>
    <row r="46" spans="1:18" ht="13.5" customHeight="1" x14ac:dyDescent="0.2">
      <c r="A46" s="2"/>
      <c r="B46" s="9"/>
      <c r="C46" s="2" t="s">
        <v>26</v>
      </c>
      <c r="D46" s="2" t="s">
        <v>42</v>
      </c>
      <c r="E46" s="2"/>
      <c r="F46" s="2"/>
      <c r="G46" s="13" t="s">
        <v>43</v>
      </c>
      <c r="H46" s="2"/>
      <c r="I46" s="2"/>
      <c r="J46" s="6"/>
      <c r="K46" s="1"/>
      <c r="L46" s="1"/>
      <c r="M46" s="6"/>
      <c r="N46" s="2"/>
      <c r="O46" s="2"/>
      <c r="P46" s="2"/>
      <c r="Q46" s="2"/>
      <c r="R46" s="2"/>
    </row>
    <row r="47" spans="1:18" ht="9.75" customHeight="1" x14ac:dyDescent="0.2">
      <c r="A47" s="304"/>
      <c r="B47" s="304"/>
      <c r="C47" s="304"/>
      <c r="D47" s="304"/>
      <c r="E47" s="304"/>
      <c r="F47" s="304"/>
      <c r="G47" s="304"/>
      <c r="H47" s="304"/>
      <c r="I47" s="304"/>
      <c r="J47" s="304"/>
      <c r="K47" s="304"/>
      <c r="L47" s="304"/>
      <c r="M47" s="304"/>
      <c r="N47" s="304"/>
      <c r="O47" s="2"/>
      <c r="P47" s="2"/>
      <c r="Q47" s="2"/>
      <c r="R47" s="2"/>
    </row>
    <row r="48" spans="1:18" ht="13.5" customHeight="1" x14ac:dyDescent="0.2">
      <c r="A48" s="165"/>
      <c r="B48" s="33" t="s">
        <v>88</v>
      </c>
      <c r="C48" s="20" t="s">
        <v>137</v>
      </c>
      <c r="D48" s="165"/>
      <c r="E48" s="165"/>
      <c r="F48" s="165"/>
      <c r="G48" s="165"/>
      <c r="H48" s="165"/>
      <c r="I48" s="165"/>
      <c r="J48" s="165"/>
      <c r="K48" s="165"/>
      <c r="L48" s="165"/>
      <c r="M48" s="165"/>
      <c r="N48" s="165"/>
      <c r="O48" s="2"/>
      <c r="P48" s="2"/>
      <c r="Q48" s="2"/>
      <c r="R48" s="2"/>
    </row>
    <row r="49" spans="1:83" ht="12" customHeight="1" x14ac:dyDescent="0.2">
      <c r="A49" s="165"/>
      <c r="B49" s="33"/>
      <c r="C49" s="20" t="s">
        <v>138</v>
      </c>
      <c r="D49" s="165"/>
      <c r="E49" s="165"/>
      <c r="F49" s="165"/>
      <c r="G49" s="165"/>
      <c r="H49" s="165"/>
      <c r="I49" s="165"/>
      <c r="N49" s="31"/>
      <c r="O49" s="2"/>
      <c r="P49" s="2"/>
      <c r="Q49" s="2"/>
      <c r="R49" s="2"/>
    </row>
    <row r="50" spans="1:83" ht="12" customHeight="1" x14ac:dyDescent="0.2">
      <c r="A50" s="165"/>
      <c r="B50" s="33"/>
      <c r="C50" s="20"/>
      <c r="D50" s="165"/>
      <c r="E50" s="165"/>
      <c r="F50" s="165"/>
      <c r="G50" s="165"/>
      <c r="H50" s="165"/>
      <c r="I50" s="165"/>
      <c r="J50" s="166">
        <v>90.3</v>
      </c>
      <c r="K50" s="20" t="s">
        <v>33</v>
      </c>
      <c r="L50" s="165"/>
      <c r="M50" s="166">
        <v>91</v>
      </c>
      <c r="N50" s="20" t="s">
        <v>33</v>
      </c>
      <c r="O50" s="2"/>
      <c r="P50" s="2"/>
      <c r="Q50" s="2"/>
      <c r="R50" s="2"/>
    </row>
    <row r="51" spans="1:83" ht="9.75" customHeight="1" x14ac:dyDescent="0.2">
      <c r="A51" s="304"/>
      <c r="B51" s="304"/>
      <c r="C51" s="304"/>
      <c r="D51" s="304"/>
      <c r="E51" s="304"/>
      <c r="F51" s="304"/>
      <c r="G51" s="304"/>
      <c r="H51" s="304"/>
      <c r="I51" s="304"/>
      <c r="J51" s="304"/>
      <c r="K51" s="304"/>
      <c r="L51" s="304"/>
      <c r="M51" s="304"/>
      <c r="N51" s="304"/>
      <c r="O51" s="2"/>
      <c r="P51" s="2"/>
      <c r="Q51" s="2"/>
      <c r="R51" s="2"/>
    </row>
    <row r="52" spans="1:83" ht="12" customHeight="1" x14ac:dyDescent="0.2">
      <c r="A52" s="2"/>
      <c r="B52" s="33" t="s">
        <v>102</v>
      </c>
      <c r="C52" s="305" t="s">
        <v>96</v>
      </c>
      <c r="D52" s="305"/>
      <c r="E52" s="305"/>
      <c r="F52" s="305"/>
      <c r="G52" s="305"/>
      <c r="H52" s="305"/>
      <c r="I52" s="305"/>
      <c r="J52" s="305"/>
      <c r="K52" s="305"/>
      <c r="L52" s="305"/>
      <c r="M52" s="305"/>
      <c r="N52" s="306"/>
      <c r="O52" s="2"/>
      <c r="P52" s="2"/>
      <c r="Q52" s="2"/>
      <c r="R52" s="2"/>
    </row>
    <row r="53" spans="1:83" ht="13.5" customHeight="1" x14ac:dyDescent="0.2">
      <c r="A53" s="2"/>
      <c r="B53" s="9"/>
      <c r="C53" s="2" t="s">
        <v>22</v>
      </c>
      <c r="D53" s="2" t="s">
        <v>45</v>
      </c>
      <c r="E53" s="2"/>
      <c r="F53" s="2"/>
      <c r="G53" s="2"/>
      <c r="H53" s="2"/>
      <c r="I53" s="2"/>
      <c r="J53" s="57">
        <v>2.4900000000000002</v>
      </c>
      <c r="K53" s="1"/>
      <c r="L53" s="1"/>
      <c r="M53" s="57">
        <v>2.61</v>
      </c>
      <c r="N53" s="2"/>
      <c r="O53" s="2"/>
      <c r="P53" s="2"/>
      <c r="Q53" s="2"/>
      <c r="R53" s="2"/>
    </row>
    <row r="54" spans="1:83" ht="13.5" customHeight="1" x14ac:dyDescent="0.2">
      <c r="A54" s="2"/>
      <c r="B54" s="9"/>
      <c r="C54" s="2" t="s">
        <v>24</v>
      </c>
      <c r="D54" s="2" t="s">
        <v>46</v>
      </c>
      <c r="E54" s="2"/>
      <c r="F54" s="2"/>
      <c r="G54" s="2"/>
      <c r="H54" s="2"/>
      <c r="I54" s="2"/>
      <c r="J54" s="6">
        <v>25</v>
      </c>
      <c r="K54" s="1" t="s">
        <v>33</v>
      </c>
      <c r="L54" s="1"/>
      <c r="M54" s="6">
        <v>22</v>
      </c>
      <c r="N54" s="2" t="s">
        <v>33</v>
      </c>
      <c r="O54" s="2"/>
      <c r="P54" s="2"/>
      <c r="Q54" s="2"/>
      <c r="R54" s="2"/>
    </row>
    <row r="55" spans="1:83" ht="9.75" customHeight="1" x14ac:dyDescent="0.2">
      <c r="A55" s="2"/>
      <c r="B55" s="9"/>
      <c r="C55" s="2"/>
      <c r="D55" s="2"/>
      <c r="E55" s="2"/>
      <c r="F55" s="2"/>
      <c r="G55" s="2"/>
      <c r="H55" s="2"/>
      <c r="I55" s="2"/>
      <c r="J55" s="5"/>
      <c r="K55" s="1"/>
      <c r="L55" s="1"/>
      <c r="M55" s="5"/>
      <c r="N55" s="2"/>
      <c r="O55" s="2"/>
      <c r="P55" s="2"/>
      <c r="Q55" s="2"/>
      <c r="R55" s="2"/>
    </row>
    <row r="56" spans="1:83" ht="12" customHeight="1" x14ac:dyDescent="0.2">
      <c r="A56" s="2"/>
      <c r="B56" s="33" t="s">
        <v>107</v>
      </c>
      <c r="C56" s="2" t="s">
        <v>147</v>
      </c>
      <c r="D56" s="2"/>
      <c r="E56" s="2"/>
      <c r="F56" s="2"/>
      <c r="G56" s="2"/>
      <c r="H56" s="2"/>
      <c r="I56" s="2"/>
      <c r="J56" s="2"/>
      <c r="K56" s="2"/>
      <c r="L56" s="1"/>
      <c r="M56" s="2"/>
      <c r="N56" s="2"/>
      <c r="O56" s="2"/>
      <c r="P56" s="2"/>
      <c r="Q56" s="2"/>
      <c r="R56" s="2"/>
    </row>
    <row r="57" spans="1:83" s="169" customFormat="1" ht="12" customHeight="1" x14ac:dyDescent="0.2">
      <c r="A57" s="167"/>
      <c r="B57" s="167"/>
      <c r="C57" s="168" t="s">
        <v>144</v>
      </c>
      <c r="D57" s="167"/>
      <c r="E57" s="167"/>
      <c r="F57" s="73" t="s">
        <v>145</v>
      </c>
      <c r="G57" s="388" t="s">
        <v>925</v>
      </c>
      <c r="H57" s="301"/>
      <c r="I57" s="302"/>
      <c r="J57" s="74" t="s">
        <v>146</v>
      </c>
      <c r="K57" s="166"/>
      <c r="L57" s="30"/>
      <c r="M57" s="75" t="s">
        <v>148</v>
      </c>
      <c r="N57" s="166"/>
      <c r="O57" s="171"/>
      <c r="P57" s="171"/>
      <c r="Q57" s="171"/>
      <c r="R57" s="171"/>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c r="BI57" s="240"/>
      <c r="BJ57" s="240"/>
      <c r="BK57" s="240"/>
      <c r="BL57" s="240"/>
      <c r="BM57" s="240"/>
      <c r="BN57" s="240"/>
      <c r="BO57" s="240"/>
      <c r="BP57" s="240"/>
      <c r="BQ57" s="240"/>
      <c r="BR57" s="240"/>
      <c r="BS57" s="240"/>
      <c r="BT57" s="240"/>
      <c r="BU57" s="240"/>
      <c r="BV57" s="240"/>
      <c r="BW57" s="240"/>
      <c r="BX57" s="240"/>
      <c r="BY57" s="240"/>
      <c r="BZ57" s="240"/>
      <c r="CA57" s="240"/>
      <c r="CB57" s="240"/>
      <c r="CC57" s="240"/>
      <c r="CD57" s="240"/>
      <c r="CE57" s="240"/>
    </row>
    <row r="58" spans="1:83" s="2" customFormat="1" x14ac:dyDescent="0.2">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8"/>
      <c r="BD58" s="238"/>
      <c r="BE58" s="238"/>
      <c r="BF58" s="238"/>
      <c r="BG58" s="238"/>
      <c r="BH58" s="238"/>
      <c r="BI58" s="238"/>
      <c r="BJ58" s="238"/>
      <c r="BK58" s="238"/>
      <c r="BL58" s="238"/>
      <c r="BM58" s="238"/>
      <c r="BN58" s="238"/>
      <c r="BO58" s="238"/>
      <c r="BP58" s="238"/>
      <c r="BQ58" s="238"/>
      <c r="BR58" s="238"/>
      <c r="BS58" s="238"/>
      <c r="BT58" s="238"/>
      <c r="BU58" s="238"/>
      <c r="BV58" s="238"/>
      <c r="BW58" s="238"/>
      <c r="BX58" s="238"/>
      <c r="BY58" s="238"/>
      <c r="BZ58" s="238"/>
      <c r="CA58" s="238"/>
      <c r="CB58" s="238"/>
      <c r="CC58" s="238"/>
      <c r="CD58" s="238"/>
      <c r="CE58" s="238"/>
    </row>
    <row r="59" spans="1:83" s="2" customFormat="1" x14ac:dyDescent="0.2">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238"/>
      <c r="AZ59" s="238"/>
      <c r="BA59" s="238"/>
      <c r="BB59" s="238"/>
      <c r="BC59" s="238"/>
      <c r="BD59" s="238"/>
      <c r="BE59" s="238"/>
      <c r="BF59" s="238"/>
      <c r="BG59" s="238"/>
      <c r="BH59" s="238"/>
      <c r="BI59" s="238"/>
      <c r="BJ59" s="238"/>
      <c r="BK59" s="238"/>
      <c r="BL59" s="238"/>
      <c r="BM59" s="238"/>
      <c r="BN59" s="238"/>
      <c r="BO59" s="238"/>
      <c r="BP59" s="238"/>
      <c r="BQ59" s="238"/>
      <c r="BR59" s="238"/>
      <c r="BS59" s="238"/>
      <c r="BT59" s="238"/>
      <c r="BU59" s="238"/>
      <c r="BV59" s="238"/>
      <c r="BW59" s="238"/>
      <c r="BX59" s="238"/>
      <c r="BY59" s="238"/>
      <c r="BZ59" s="238"/>
      <c r="CA59" s="238"/>
      <c r="CB59" s="238"/>
      <c r="CC59" s="238"/>
      <c r="CD59" s="238"/>
      <c r="CE59" s="238"/>
    </row>
    <row r="60" spans="1:83" x14ac:dyDescent="0.2">
      <c r="A60" s="238"/>
      <c r="B60" s="238"/>
      <c r="C60" s="238"/>
      <c r="D60" s="238"/>
      <c r="E60" s="238"/>
      <c r="F60" s="238"/>
      <c r="G60" s="238"/>
      <c r="H60" s="238"/>
      <c r="I60" s="238"/>
      <c r="J60" s="238"/>
      <c r="K60" s="238"/>
      <c r="L60" s="238"/>
      <c r="M60" s="238"/>
      <c r="N60" s="238"/>
      <c r="O60" s="238"/>
      <c r="P60" s="238"/>
      <c r="Q60" s="238"/>
      <c r="R60" s="238"/>
    </row>
    <row r="61" spans="1:83" x14ac:dyDescent="0.2">
      <c r="A61" s="238"/>
      <c r="B61" s="238"/>
      <c r="C61" s="238"/>
      <c r="D61" s="238"/>
      <c r="E61" s="238"/>
      <c r="F61" s="238"/>
      <c r="G61" s="238"/>
      <c r="H61" s="238"/>
      <c r="I61" s="238"/>
      <c r="J61" s="238"/>
      <c r="K61" s="238"/>
      <c r="L61" s="238"/>
      <c r="M61" s="238"/>
      <c r="N61" s="238"/>
      <c r="O61" s="238"/>
      <c r="P61" s="238"/>
      <c r="Q61" s="238"/>
      <c r="R61" s="238"/>
    </row>
    <row r="62" spans="1:83" x14ac:dyDescent="0.2">
      <c r="A62" s="238"/>
      <c r="B62" s="238"/>
      <c r="C62" s="238"/>
      <c r="D62" s="238"/>
      <c r="E62" s="238"/>
      <c r="F62" s="238"/>
      <c r="G62" s="238"/>
      <c r="H62" s="238"/>
      <c r="I62" s="238"/>
      <c r="J62" s="238"/>
      <c r="K62" s="238"/>
      <c r="L62" s="238"/>
      <c r="M62" s="238"/>
      <c r="N62" s="238"/>
      <c r="O62" s="238"/>
      <c r="P62" s="238"/>
      <c r="Q62" s="238"/>
      <c r="R62" s="238"/>
    </row>
    <row r="63" spans="1:83" x14ac:dyDescent="0.2">
      <c r="A63" s="238"/>
      <c r="B63" s="238"/>
      <c r="C63" s="238"/>
      <c r="D63" s="238"/>
      <c r="E63" s="238"/>
      <c r="F63" s="238"/>
      <c r="G63" s="238"/>
      <c r="H63" s="238"/>
      <c r="I63" s="238"/>
      <c r="J63" s="238"/>
      <c r="K63" s="238"/>
      <c r="L63" s="238"/>
      <c r="M63" s="238"/>
      <c r="N63" s="238"/>
      <c r="O63" s="238"/>
      <c r="P63" s="238"/>
      <c r="Q63" s="238"/>
      <c r="R63" s="238"/>
    </row>
    <row r="64" spans="1:83" x14ac:dyDescent="0.2">
      <c r="A64" s="238"/>
      <c r="B64" s="238"/>
      <c r="C64" s="238"/>
      <c r="D64" s="238"/>
      <c r="E64" s="238"/>
      <c r="F64" s="238"/>
      <c r="G64" s="238"/>
      <c r="H64" s="238"/>
      <c r="I64" s="238"/>
      <c r="J64" s="238"/>
      <c r="K64" s="238"/>
      <c r="L64" s="238"/>
      <c r="M64" s="238"/>
      <c r="N64" s="238"/>
      <c r="O64" s="238"/>
      <c r="P64" s="238"/>
      <c r="Q64" s="238"/>
      <c r="R64" s="238"/>
    </row>
    <row r="65" spans="1:18" x14ac:dyDescent="0.2">
      <c r="A65" s="238"/>
      <c r="B65" s="238"/>
      <c r="C65" s="238"/>
      <c r="D65" s="238"/>
      <c r="E65" s="238"/>
      <c r="F65" s="238"/>
      <c r="G65" s="238"/>
      <c r="H65" s="238"/>
      <c r="I65" s="238"/>
      <c r="J65" s="238"/>
      <c r="K65" s="238"/>
      <c r="L65" s="238"/>
      <c r="M65" s="238"/>
      <c r="N65" s="238"/>
      <c r="O65" s="238"/>
      <c r="P65" s="238"/>
      <c r="Q65" s="238"/>
      <c r="R65" s="238"/>
    </row>
    <row r="66" spans="1:18" x14ac:dyDescent="0.2">
      <c r="A66" s="238"/>
      <c r="B66" s="238"/>
      <c r="C66" s="238"/>
      <c r="D66" s="238"/>
      <c r="E66" s="238"/>
      <c r="F66" s="238"/>
      <c r="G66" s="238"/>
      <c r="H66" s="238"/>
      <c r="I66" s="238"/>
      <c r="J66" s="238"/>
      <c r="K66" s="238"/>
      <c r="L66" s="238"/>
      <c r="M66" s="238"/>
      <c r="N66" s="238"/>
      <c r="O66" s="238"/>
      <c r="P66" s="238"/>
      <c r="Q66" s="238"/>
      <c r="R66" s="238"/>
    </row>
    <row r="67" spans="1:18" x14ac:dyDescent="0.2">
      <c r="A67" s="238"/>
      <c r="B67" s="238"/>
      <c r="C67" s="238"/>
      <c r="D67" s="238"/>
      <c r="E67" s="238"/>
      <c r="F67" s="238"/>
      <c r="G67" s="238"/>
      <c r="H67" s="238"/>
      <c r="I67" s="238"/>
      <c r="J67" s="238"/>
      <c r="K67" s="238"/>
      <c r="L67" s="238"/>
      <c r="M67" s="238"/>
      <c r="N67" s="238"/>
      <c r="O67" s="238"/>
      <c r="P67" s="238"/>
      <c r="Q67" s="238"/>
      <c r="R67" s="238"/>
    </row>
    <row r="68" spans="1:18" x14ac:dyDescent="0.2">
      <c r="A68" s="238"/>
      <c r="B68" s="238"/>
      <c r="C68" s="238"/>
      <c r="D68" s="238"/>
      <c r="E68" s="238"/>
      <c r="F68" s="238"/>
      <c r="G68" s="238"/>
      <c r="H68" s="238"/>
      <c r="I68" s="238"/>
      <c r="J68" s="238"/>
      <c r="K68" s="238"/>
      <c r="L68" s="238"/>
      <c r="M68" s="238"/>
      <c r="N68" s="238"/>
      <c r="O68" s="238"/>
      <c r="P68" s="238"/>
      <c r="Q68" s="238"/>
      <c r="R68" s="238"/>
    </row>
    <row r="69" spans="1:18" x14ac:dyDescent="0.2">
      <c r="A69" s="238"/>
      <c r="B69" s="238"/>
      <c r="C69" s="238"/>
      <c r="D69" s="238"/>
      <c r="E69" s="238"/>
      <c r="F69" s="238"/>
      <c r="G69" s="238"/>
      <c r="H69" s="238"/>
      <c r="I69" s="238"/>
      <c r="J69" s="238"/>
      <c r="K69" s="238"/>
      <c r="L69" s="238"/>
      <c r="M69" s="238"/>
      <c r="N69" s="238"/>
      <c r="O69" s="238"/>
      <c r="P69" s="238"/>
      <c r="Q69" s="238"/>
      <c r="R69" s="238"/>
    </row>
    <row r="70" spans="1:18" x14ac:dyDescent="0.2">
      <c r="A70" s="238"/>
      <c r="B70" s="238"/>
      <c r="C70" s="238"/>
      <c r="D70" s="238"/>
      <c r="E70" s="238"/>
      <c r="F70" s="238"/>
      <c r="G70" s="238"/>
      <c r="H70" s="238"/>
      <c r="I70" s="238"/>
      <c r="J70" s="238"/>
      <c r="K70" s="238"/>
      <c r="L70" s="238"/>
      <c r="M70" s="238"/>
      <c r="N70" s="238"/>
      <c r="O70" s="238"/>
      <c r="P70" s="238"/>
      <c r="Q70" s="238"/>
      <c r="R70" s="238"/>
    </row>
    <row r="71" spans="1:18" x14ac:dyDescent="0.2">
      <c r="A71" s="238"/>
      <c r="B71" s="238"/>
      <c r="C71" s="238"/>
      <c r="D71" s="238"/>
      <c r="E71" s="238"/>
      <c r="F71" s="238"/>
      <c r="G71" s="238"/>
      <c r="H71" s="238"/>
      <c r="I71" s="238"/>
      <c r="J71" s="238"/>
      <c r="K71" s="238"/>
      <c r="L71" s="238"/>
      <c r="M71" s="238"/>
      <c r="N71" s="238"/>
      <c r="O71" s="238"/>
      <c r="P71" s="238"/>
      <c r="Q71" s="238"/>
      <c r="R71" s="238"/>
    </row>
    <row r="72" spans="1:18" x14ac:dyDescent="0.2">
      <c r="A72" s="238"/>
      <c r="B72" s="238"/>
      <c r="C72" s="238"/>
      <c r="D72" s="238"/>
      <c r="E72" s="238"/>
      <c r="F72" s="238"/>
      <c r="G72" s="238"/>
      <c r="H72" s="238"/>
      <c r="I72" s="238"/>
      <c r="J72" s="238"/>
      <c r="K72" s="238"/>
      <c r="L72" s="238"/>
      <c r="M72" s="238"/>
      <c r="N72" s="238"/>
      <c r="O72" s="238"/>
      <c r="P72" s="238"/>
      <c r="Q72" s="238"/>
      <c r="R72" s="238"/>
    </row>
    <row r="73" spans="1:18" x14ac:dyDescent="0.2">
      <c r="A73" s="238"/>
      <c r="B73" s="238"/>
      <c r="C73" s="238"/>
      <c r="D73" s="238"/>
      <c r="E73" s="238"/>
      <c r="F73" s="238"/>
      <c r="G73" s="238"/>
      <c r="H73" s="238"/>
      <c r="I73" s="238"/>
      <c r="J73" s="238"/>
      <c r="K73" s="238"/>
      <c r="L73" s="238"/>
      <c r="M73" s="238"/>
      <c r="N73" s="238"/>
      <c r="O73" s="238"/>
      <c r="P73" s="238"/>
      <c r="Q73" s="238"/>
      <c r="R73" s="238"/>
    </row>
    <row r="74" spans="1:18" x14ac:dyDescent="0.2">
      <c r="A74" s="238"/>
      <c r="B74" s="238"/>
      <c r="C74" s="238"/>
      <c r="D74" s="238"/>
      <c r="E74" s="238"/>
      <c r="F74" s="238"/>
      <c r="G74" s="238"/>
      <c r="H74" s="238"/>
      <c r="I74" s="238"/>
      <c r="J74" s="238"/>
      <c r="K74" s="238"/>
      <c r="L74" s="238"/>
      <c r="M74" s="238"/>
      <c r="N74" s="238"/>
      <c r="O74" s="238"/>
      <c r="P74" s="238"/>
      <c r="Q74" s="238"/>
      <c r="R74" s="238"/>
    </row>
    <row r="75" spans="1:18" x14ac:dyDescent="0.2">
      <c r="A75" s="238"/>
      <c r="B75" s="238"/>
      <c r="C75" s="238"/>
      <c r="D75" s="238"/>
      <c r="E75" s="238"/>
      <c r="F75" s="238"/>
      <c r="G75" s="238"/>
      <c r="H75" s="238"/>
      <c r="I75" s="238"/>
      <c r="J75" s="238"/>
      <c r="K75" s="238"/>
      <c r="L75" s="238"/>
      <c r="M75" s="238"/>
      <c r="N75" s="238"/>
      <c r="O75" s="238"/>
      <c r="P75" s="238"/>
      <c r="Q75" s="238"/>
      <c r="R75" s="238"/>
    </row>
    <row r="76" spans="1:18" x14ac:dyDescent="0.2">
      <c r="A76" s="238"/>
      <c r="B76" s="238"/>
      <c r="C76" s="238"/>
      <c r="D76" s="238"/>
      <c r="E76" s="238"/>
      <c r="F76" s="238"/>
      <c r="G76" s="238"/>
      <c r="H76" s="238"/>
      <c r="I76" s="238"/>
      <c r="J76" s="238"/>
      <c r="K76" s="238"/>
      <c r="L76" s="238"/>
      <c r="M76" s="238"/>
      <c r="N76" s="238"/>
      <c r="O76" s="238"/>
      <c r="P76" s="238"/>
      <c r="Q76" s="238"/>
      <c r="R76" s="238"/>
    </row>
    <row r="77" spans="1:18" x14ac:dyDescent="0.2">
      <c r="A77" s="238"/>
      <c r="B77" s="238"/>
      <c r="C77" s="238"/>
      <c r="D77" s="238"/>
      <c r="E77" s="238"/>
      <c r="F77" s="238"/>
      <c r="G77" s="238"/>
      <c r="H77" s="238"/>
      <c r="I77" s="238"/>
      <c r="J77" s="238"/>
      <c r="K77" s="238"/>
      <c r="L77" s="238"/>
      <c r="M77" s="238"/>
      <c r="N77" s="238"/>
      <c r="O77" s="238"/>
      <c r="P77" s="238"/>
      <c r="Q77" s="238"/>
      <c r="R77" s="238"/>
    </row>
    <row r="78" spans="1:18" x14ac:dyDescent="0.2">
      <c r="A78" s="238"/>
      <c r="B78" s="238"/>
      <c r="C78" s="238"/>
      <c r="D78" s="238"/>
      <c r="E78" s="238"/>
      <c r="F78" s="238"/>
      <c r="G78" s="238"/>
      <c r="H78" s="238"/>
      <c r="I78" s="238"/>
      <c r="J78" s="238"/>
      <c r="K78" s="238"/>
      <c r="L78" s="238"/>
      <c r="M78" s="238"/>
      <c r="N78" s="238"/>
      <c r="O78" s="238"/>
      <c r="P78" s="238"/>
      <c r="Q78" s="238"/>
      <c r="R78" s="238"/>
    </row>
    <row r="79" spans="1:18" x14ac:dyDescent="0.2">
      <c r="A79" s="238"/>
      <c r="B79" s="238"/>
      <c r="C79" s="238"/>
      <c r="D79" s="238"/>
      <c r="E79" s="238"/>
      <c r="F79" s="238"/>
      <c r="G79" s="238"/>
      <c r="H79" s="238"/>
      <c r="I79" s="238"/>
      <c r="J79" s="238"/>
      <c r="K79" s="238"/>
      <c r="L79" s="238"/>
      <c r="M79" s="238"/>
      <c r="N79" s="238"/>
      <c r="O79" s="238"/>
      <c r="P79" s="238"/>
      <c r="Q79" s="238"/>
      <c r="R79" s="238"/>
    </row>
    <row r="80" spans="1:18" x14ac:dyDescent="0.2">
      <c r="A80" s="238"/>
      <c r="B80" s="238"/>
      <c r="C80" s="238"/>
      <c r="D80" s="238"/>
      <c r="E80" s="238"/>
      <c r="F80" s="238"/>
      <c r="G80" s="238"/>
      <c r="H80" s="238"/>
      <c r="I80" s="238"/>
      <c r="J80" s="238"/>
      <c r="K80" s="238"/>
      <c r="L80" s="238"/>
      <c r="M80" s="238"/>
      <c r="N80" s="238"/>
      <c r="O80" s="238"/>
      <c r="P80" s="238"/>
      <c r="Q80" s="238"/>
      <c r="R80" s="238"/>
    </row>
    <row r="81" spans="1:18" x14ac:dyDescent="0.2">
      <c r="A81" s="238"/>
      <c r="B81" s="238"/>
      <c r="C81" s="238"/>
      <c r="D81" s="238"/>
      <c r="E81" s="238"/>
      <c r="F81" s="238"/>
      <c r="G81" s="238"/>
      <c r="H81" s="238"/>
      <c r="I81" s="238"/>
      <c r="J81" s="238"/>
      <c r="K81" s="238"/>
      <c r="L81" s="238"/>
      <c r="M81" s="238"/>
      <c r="N81" s="238"/>
      <c r="O81" s="238"/>
      <c r="P81" s="238"/>
      <c r="Q81" s="238"/>
      <c r="R81" s="238"/>
    </row>
    <row r="82" spans="1:18" x14ac:dyDescent="0.2">
      <c r="A82" s="238"/>
      <c r="B82" s="238"/>
      <c r="C82" s="238"/>
      <c r="D82" s="238"/>
      <c r="E82" s="238"/>
      <c r="F82" s="238"/>
      <c r="G82" s="238"/>
      <c r="H82" s="238"/>
      <c r="I82" s="238"/>
      <c r="J82" s="238"/>
      <c r="K82" s="238"/>
      <c r="L82" s="238"/>
      <c r="M82" s="238"/>
      <c r="N82" s="238"/>
      <c r="O82" s="238"/>
      <c r="P82" s="238"/>
      <c r="Q82" s="238"/>
      <c r="R82" s="238"/>
    </row>
    <row r="83" spans="1:18" x14ac:dyDescent="0.2">
      <c r="A83" s="238"/>
      <c r="B83" s="238"/>
      <c r="C83" s="238"/>
      <c r="D83" s="238"/>
      <c r="E83" s="238"/>
      <c r="F83" s="238"/>
      <c r="G83" s="238"/>
      <c r="H83" s="238"/>
      <c r="I83" s="238"/>
      <c r="J83" s="238"/>
      <c r="K83" s="238"/>
      <c r="L83" s="238"/>
      <c r="M83" s="238"/>
      <c r="N83" s="238"/>
      <c r="O83" s="238"/>
      <c r="P83" s="238"/>
      <c r="Q83" s="238"/>
      <c r="R83" s="238"/>
    </row>
    <row r="84" spans="1:18" x14ac:dyDescent="0.2">
      <c r="A84" s="238"/>
      <c r="B84" s="238"/>
      <c r="C84" s="238"/>
      <c r="D84" s="238"/>
      <c r="E84" s="238"/>
      <c r="F84" s="238"/>
      <c r="G84" s="238"/>
      <c r="H84" s="238"/>
      <c r="I84" s="238"/>
      <c r="J84" s="238"/>
      <c r="K84" s="238"/>
      <c r="L84" s="238"/>
      <c r="M84" s="238"/>
      <c r="N84" s="238"/>
      <c r="O84" s="238"/>
      <c r="P84" s="238"/>
      <c r="Q84" s="238"/>
      <c r="R84" s="238"/>
    </row>
    <row r="85" spans="1:18" x14ac:dyDescent="0.2">
      <c r="A85" s="238"/>
      <c r="B85" s="238"/>
      <c r="C85" s="238"/>
      <c r="D85" s="238"/>
      <c r="E85" s="238"/>
      <c r="F85" s="238"/>
      <c r="G85" s="238"/>
      <c r="H85" s="238"/>
      <c r="I85" s="238"/>
      <c r="J85" s="238"/>
      <c r="K85" s="238"/>
      <c r="L85" s="238"/>
      <c r="M85" s="238"/>
      <c r="N85" s="238"/>
      <c r="O85" s="238"/>
      <c r="P85" s="238"/>
      <c r="Q85" s="238"/>
      <c r="R85" s="238"/>
    </row>
    <row r="86" spans="1:18" x14ac:dyDescent="0.2">
      <c r="A86" s="238"/>
      <c r="B86" s="238"/>
      <c r="C86" s="238"/>
      <c r="D86" s="238"/>
      <c r="E86" s="238"/>
      <c r="F86" s="238"/>
      <c r="G86" s="238"/>
      <c r="H86" s="238"/>
      <c r="I86" s="238"/>
      <c r="J86" s="238"/>
      <c r="K86" s="238"/>
      <c r="L86" s="238"/>
      <c r="M86" s="238"/>
      <c r="N86" s="238"/>
      <c r="O86" s="238"/>
      <c r="P86" s="238"/>
      <c r="Q86" s="238"/>
      <c r="R86" s="238"/>
    </row>
    <row r="87" spans="1:18" x14ac:dyDescent="0.2">
      <c r="A87" s="238"/>
      <c r="B87" s="238"/>
      <c r="C87" s="238"/>
      <c r="D87" s="238"/>
      <c r="E87" s="238"/>
      <c r="F87" s="238"/>
      <c r="G87" s="238"/>
      <c r="H87" s="238"/>
      <c r="I87" s="238"/>
      <c r="J87" s="238"/>
      <c r="K87" s="238"/>
      <c r="L87" s="238"/>
      <c r="M87" s="238"/>
      <c r="N87" s="238"/>
      <c r="O87" s="238"/>
      <c r="P87" s="238"/>
      <c r="Q87" s="238"/>
      <c r="R87" s="238"/>
    </row>
    <row r="88" spans="1:18" x14ac:dyDescent="0.2">
      <c r="A88" s="238"/>
      <c r="B88" s="238"/>
      <c r="C88" s="238"/>
      <c r="D88" s="238"/>
      <c r="E88" s="238"/>
      <c r="F88" s="238"/>
      <c r="G88" s="238"/>
      <c r="H88" s="238"/>
      <c r="I88" s="238"/>
      <c r="J88" s="238"/>
      <c r="K88" s="238"/>
      <c r="L88" s="238"/>
      <c r="M88" s="238"/>
      <c r="N88" s="238"/>
      <c r="O88" s="238"/>
      <c r="P88" s="238"/>
      <c r="Q88" s="238"/>
      <c r="R88" s="238"/>
    </row>
    <row r="89" spans="1:18" x14ac:dyDescent="0.2">
      <c r="A89" s="238"/>
      <c r="B89" s="238"/>
      <c r="C89" s="238"/>
      <c r="D89" s="238"/>
      <c r="E89" s="238"/>
      <c r="F89" s="238"/>
      <c r="G89" s="238"/>
      <c r="H89" s="238"/>
      <c r="I89" s="238"/>
      <c r="J89" s="238"/>
      <c r="K89" s="238"/>
      <c r="L89" s="238"/>
      <c r="M89" s="238"/>
      <c r="N89" s="238"/>
      <c r="O89" s="238"/>
      <c r="P89" s="238"/>
      <c r="Q89" s="238"/>
      <c r="R89" s="238"/>
    </row>
    <row r="90" spans="1:18" x14ac:dyDescent="0.2">
      <c r="A90" s="238"/>
      <c r="B90" s="238"/>
      <c r="C90" s="238"/>
      <c r="D90" s="238"/>
      <c r="E90" s="238"/>
      <c r="F90" s="238"/>
      <c r="G90" s="238"/>
      <c r="H90" s="238"/>
      <c r="I90" s="238"/>
      <c r="J90" s="238"/>
      <c r="K90" s="238"/>
      <c r="L90" s="238"/>
      <c r="M90" s="238"/>
      <c r="N90" s="238"/>
      <c r="O90" s="238"/>
      <c r="P90" s="238"/>
      <c r="Q90" s="238"/>
      <c r="R90" s="238"/>
    </row>
    <row r="91" spans="1:18" x14ac:dyDescent="0.2">
      <c r="A91" s="238"/>
      <c r="B91" s="238"/>
      <c r="C91" s="238"/>
      <c r="D91" s="238"/>
      <c r="E91" s="238"/>
      <c r="F91" s="238"/>
      <c r="G91" s="238"/>
      <c r="H91" s="238"/>
      <c r="I91" s="238"/>
      <c r="J91" s="238"/>
      <c r="K91" s="238"/>
      <c r="L91" s="238"/>
      <c r="M91" s="238"/>
      <c r="N91" s="238"/>
      <c r="O91" s="238"/>
      <c r="P91" s="238"/>
      <c r="Q91" s="238"/>
      <c r="R91" s="238"/>
    </row>
    <row r="92" spans="1:18" x14ac:dyDescent="0.2">
      <c r="A92" s="238"/>
      <c r="B92" s="238"/>
      <c r="C92" s="238"/>
      <c r="D92" s="238"/>
      <c r="E92" s="238"/>
      <c r="F92" s="238"/>
      <c r="G92" s="238"/>
      <c r="H92" s="238"/>
      <c r="I92" s="238"/>
      <c r="J92" s="238"/>
      <c r="K92" s="238"/>
      <c r="L92" s="238"/>
      <c r="M92" s="238"/>
      <c r="N92" s="238"/>
      <c r="O92" s="238"/>
      <c r="P92" s="238"/>
      <c r="Q92" s="238"/>
      <c r="R92" s="238"/>
    </row>
    <row r="93" spans="1:18" x14ac:dyDescent="0.2">
      <c r="A93" s="238"/>
      <c r="B93" s="238"/>
      <c r="C93" s="238"/>
      <c r="D93" s="238"/>
      <c r="E93" s="238"/>
      <c r="F93" s="238"/>
      <c r="G93" s="238"/>
      <c r="H93" s="238"/>
      <c r="I93" s="238"/>
      <c r="J93" s="238"/>
      <c r="K93" s="238"/>
      <c r="L93" s="238"/>
      <c r="M93" s="238"/>
      <c r="N93" s="238"/>
      <c r="O93" s="238"/>
      <c r="P93" s="238"/>
      <c r="Q93" s="238"/>
      <c r="R93" s="238"/>
    </row>
    <row r="94" spans="1:18" x14ac:dyDescent="0.2">
      <c r="A94" s="238"/>
      <c r="B94" s="238"/>
      <c r="C94" s="238"/>
      <c r="D94" s="238"/>
      <c r="E94" s="238"/>
      <c r="F94" s="238"/>
      <c r="G94" s="238"/>
      <c r="H94" s="238"/>
      <c r="I94" s="238"/>
      <c r="J94" s="238"/>
      <c r="K94" s="238"/>
      <c r="L94" s="238"/>
      <c r="M94" s="238"/>
      <c r="N94" s="238"/>
      <c r="O94" s="238"/>
      <c r="P94" s="238"/>
      <c r="Q94" s="238"/>
      <c r="R94" s="238"/>
    </row>
    <row r="95" spans="1:18" x14ac:dyDescent="0.2">
      <c r="A95" s="238"/>
      <c r="B95" s="238"/>
      <c r="C95" s="238"/>
      <c r="D95" s="238"/>
      <c r="E95" s="238"/>
      <c r="F95" s="238"/>
      <c r="G95" s="238"/>
      <c r="H95" s="238"/>
      <c r="I95" s="238"/>
      <c r="J95" s="238"/>
      <c r="K95" s="238"/>
      <c r="L95" s="238"/>
      <c r="M95" s="238"/>
      <c r="N95" s="238"/>
      <c r="O95" s="238"/>
      <c r="P95" s="238"/>
      <c r="Q95" s="238"/>
      <c r="R95" s="238"/>
    </row>
    <row r="96" spans="1:18" x14ac:dyDescent="0.2">
      <c r="A96" s="238"/>
      <c r="B96" s="238"/>
      <c r="C96" s="238"/>
      <c r="D96" s="238"/>
      <c r="E96" s="238"/>
      <c r="F96" s="238"/>
      <c r="G96" s="238"/>
      <c r="H96" s="238"/>
      <c r="I96" s="238"/>
      <c r="J96" s="238"/>
      <c r="K96" s="238"/>
      <c r="L96" s="238"/>
      <c r="M96" s="238"/>
      <c r="N96" s="238"/>
      <c r="O96" s="238"/>
      <c r="P96" s="238"/>
      <c r="Q96" s="238"/>
      <c r="R96" s="238"/>
    </row>
    <row r="97" spans="1:18" x14ac:dyDescent="0.2">
      <c r="A97" s="238"/>
      <c r="B97" s="238"/>
      <c r="C97" s="238"/>
      <c r="D97" s="238"/>
      <c r="E97" s="238"/>
      <c r="F97" s="238"/>
      <c r="G97" s="238"/>
      <c r="H97" s="238"/>
      <c r="I97" s="238"/>
      <c r="J97" s="238"/>
      <c r="K97" s="238"/>
      <c r="L97" s="238"/>
      <c r="M97" s="238"/>
      <c r="N97" s="238"/>
      <c r="O97" s="238"/>
      <c r="P97" s="238"/>
      <c r="Q97" s="238"/>
      <c r="R97" s="238"/>
    </row>
    <row r="98" spans="1:18" x14ac:dyDescent="0.2">
      <c r="A98" s="238"/>
      <c r="B98" s="238"/>
      <c r="C98" s="238"/>
      <c r="D98" s="238"/>
      <c r="E98" s="238"/>
      <c r="F98" s="238"/>
      <c r="G98" s="238"/>
      <c r="H98" s="238"/>
      <c r="I98" s="238"/>
      <c r="J98" s="238"/>
      <c r="K98" s="238"/>
      <c r="L98" s="238"/>
      <c r="M98" s="238"/>
      <c r="N98" s="238"/>
      <c r="O98" s="238"/>
      <c r="P98" s="238"/>
      <c r="Q98" s="238"/>
      <c r="R98" s="238"/>
    </row>
    <row r="99" spans="1:18" x14ac:dyDescent="0.2">
      <c r="A99" s="238"/>
      <c r="B99" s="238"/>
      <c r="C99" s="238"/>
      <c r="D99" s="238"/>
      <c r="E99" s="238"/>
      <c r="F99" s="238"/>
      <c r="G99" s="238"/>
      <c r="H99" s="238"/>
      <c r="I99" s="238"/>
      <c r="J99" s="238"/>
      <c r="K99" s="238"/>
      <c r="L99" s="238"/>
      <c r="M99" s="238"/>
      <c r="N99" s="238"/>
      <c r="O99" s="238"/>
      <c r="P99" s="238"/>
      <c r="Q99" s="238"/>
      <c r="R99" s="238"/>
    </row>
    <row r="100" spans="1:18" x14ac:dyDescent="0.2">
      <c r="A100" s="238"/>
      <c r="B100" s="238"/>
      <c r="C100" s="238"/>
      <c r="D100" s="238"/>
      <c r="E100" s="238"/>
      <c r="F100" s="238"/>
      <c r="G100" s="238"/>
      <c r="H100" s="238"/>
      <c r="I100" s="238"/>
      <c r="J100" s="238"/>
      <c r="K100" s="238"/>
      <c r="L100" s="238"/>
      <c r="M100" s="238"/>
      <c r="N100" s="238"/>
      <c r="O100" s="238"/>
      <c r="P100" s="238"/>
      <c r="Q100" s="238"/>
      <c r="R100" s="238"/>
    </row>
    <row r="101" spans="1:18" x14ac:dyDescent="0.2">
      <c r="A101" s="238"/>
      <c r="B101" s="238"/>
      <c r="C101" s="238"/>
      <c r="D101" s="238"/>
      <c r="E101" s="238"/>
      <c r="F101" s="238"/>
      <c r="G101" s="238"/>
      <c r="H101" s="238"/>
      <c r="I101" s="238"/>
      <c r="J101" s="238"/>
      <c r="K101" s="238"/>
      <c r="L101" s="238"/>
      <c r="M101" s="238"/>
      <c r="N101" s="238"/>
      <c r="O101" s="238"/>
      <c r="P101" s="238"/>
      <c r="Q101" s="238"/>
      <c r="R101" s="238"/>
    </row>
    <row r="102" spans="1:18" x14ac:dyDescent="0.2">
      <c r="A102" s="238"/>
      <c r="B102" s="238"/>
      <c r="C102" s="238"/>
      <c r="D102" s="238"/>
      <c r="E102" s="238"/>
      <c r="F102" s="238"/>
      <c r="G102" s="238"/>
      <c r="H102" s="238"/>
      <c r="I102" s="238"/>
      <c r="J102" s="238"/>
      <c r="K102" s="238"/>
      <c r="L102" s="238"/>
      <c r="M102" s="238"/>
      <c r="N102" s="238"/>
      <c r="O102" s="238"/>
      <c r="P102" s="238"/>
      <c r="Q102" s="238"/>
      <c r="R102" s="238"/>
    </row>
    <row r="103" spans="1:18" x14ac:dyDescent="0.2">
      <c r="A103" s="238"/>
      <c r="B103" s="238"/>
      <c r="C103" s="238"/>
      <c r="D103" s="238"/>
      <c r="E103" s="238"/>
      <c r="F103" s="238"/>
      <c r="G103" s="238"/>
      <c r="H103" s="238"/>
      <c r="I103" s="238"/>
      <c r="J103" s="238"/>
      <c r="K103" s="238"/>
      <c r="L103" s="238"/>
      <c r="M103" s="238"/>
      <c r="N103" s="238"/>
      <c r="O103" s="238"/>
      <c r="P103" s="238"/>
      <c r="Q103" s="238"/>
      <c r="R103" s="238"/>
    </row>
    <row r="104" spans="1:18" x14ac:dyDescent="0.2">
      <c r="A104" s="238"/>
      <c r="B104" s="238"/>
      <c r="C104" s="238"/>
      <c r="D104" s="238"/>
      <c r="E104" s="238"/>
      <c r="F104" s="238"/>
      <c r="G104" s="238"/>
      <c r="H104" s="238"/>
      <c r="I104" s="238"/>
      <c r="J104" s="238"/>
      <c r="K104" s="238"/>
      <c r="L104" s="238"/>
      <c r="M104" s="238"/>
      <c r="N104" s="238"/>
      <c r="O104" s="238"/>
      <c r="P104" s="238"/>
      <c r="Q104" s="238"/>
      <c r="R104" s="238"/>
    </row>
    <row r="105" spans="1:18" x14ac:dyDescent="0.2">
      <c r="A105" s="238"/>
      <c r="B105" s="238"/>
      <c r="C105" s="238"/>
      <c r="D105" s="238"/>
      <c r="E105" s="238"/>
      <c r="F105" s="238"/>
      <c r="G105" s="238"/>
      <c r="H105" s="238"/>
      <c r="I105" s="238"/>
      <c r="J105" s="238"/>
      <c r="K105" s="238"/>
      <c r="L105" s="238"/>
      <c r="M105" s="238"/>
      <c r="N105" s="238"/>
      <c r="O105" s="238"/>
      <c r="P105" s="238"/>
      <c r="Q105" s="238"/>
      <c r="R105" s="238"/>
    </row>
    <row r="106" spans="1:18" x14ac:dyDescent="0.2">
      <c r="A106" s="238"/>
      <c r="B106" s="238"/>
      <c r="C106" s="238"/>
      <c r="D106" s="238"/>
      <c r="E106" s="238"/>
      <c r="F106" s="238"/>
      <c r="G106" s="238"/>
      <c r="H106" s="238"/>
      <c r="I106" s="238"/>
      <c r="J106" s="238"/>
      <c r="K106" s="238"/>
      <c r="L106" s="238"/>
      <c r="M106" s="238"/>
      <c r="N106" s="238"/>
      <c r="O106" s="238"/>
      <c r="P106" s="238"/>
      <c r="Q106" s="238"/>
      <c r="R106" s="238"/>
    </row>
    <row r="107" spans="1:18" x14ac:dyDescent="0.2">
      <c r="A107" s="238"/>
      <c r="B107" s="238"/>
      <c r="C107" s="238"/>
      <c r="D107" s="238"/>
      <c r="E107" s="238"/>
      <c r="F107" s="238"/>
      <c r="G107" s="238"/>
      <c r="H107" s="238"/>
      <c r="I107" s="238"/>
      <c r="J107" s="238"/>
      <c r="K107" s="238"/>
      <c r="L107" s="238"/>
      <c r="M107" s="238"/>
      <c r="N107" s="238"/>
      <c r="O107" s="238"/>
      <c r="P107" s="238"/>
      <c r="Q107" s="238"/>
      <c r="R107" s="238"/>
    </row>
    <row r="108" spans="1:18" x14ac:dyDescent="0.2">
      <c r="A108" s="238"/>
      <c r="B108" s="238"/>
      <c r="C108" s="238"/>
      <c r="D108" s="238"/>
      <c r="E108" s="238"/>
      <c r="F108" s="238"/>
      <c r="G108" s="238"/>
      <c r="H108" s="238"/>
      <c r="I108" s="238"/>
      <c r="J108" s="238"/>
      <c r="K108" s="238"/>
      <c r="L108" s="238"/>
      <c r="M108" s="238"/>
      <c r="N108" s="238"/>
      <c r="O108" s="238"/>
      <c r="P108" s="238"/>
      <c r="Q108" s="238"/>
      <c r="R108" s="238"/>
    </row>
    <row r="109" spans="1:18" x14ac:dyDescent="0.2">
      <c r="A109" s="238"/>
      <c r="B109" s="238"/>
      <c r="C109" s="238"/>
      <c r="D109" s="238"/>
      <c r="E109" s="238"/>
      <c r="F109" s="238"/>
      <c r="G109" s="238"/>
      <c r="H109" s="238"/>
      <c r="I109" s="238"/>
      <c r="J109" s="238"/>
      <c r="K109" s="238"/>
      <c r="L109" s="238"/>
      <c r="M109" s="238"/>
      <c r="N109" s="238"/>
      <c r="O109" s="238"/>
      <c r="P109" s="238"/>
      <c r="Q109" s="238"/>
      <c r="R109" s="238"/>
    </row>
    <row r="110" spans="1:18" x14ac:dyDescent="0.2">
      <c r="A110" s="238"/>
      <c r="B110" s="238"/>
      <c r="C110" s="238"/>
      <c r="D110" s="238"/>
      <c r="E110" s="238"/>
      <c r="F110" s="238"/>
      <c r="G110" s="238"/>
      <c r="H110" s="238"/>
      <c r="I110" s="238"/>
      <c r="J110" s="238"/>
      <c r="K110" s="238"/>
      <c r="L110" s="238"/>
      <c r="M110" s="238"/>
      <c r="N110" s="238"/>
      <c r="O110" s="238"/>
      <c r="P110" s="238"/>
      <c r="Q110" s="238"/>
      <c r="R110" s="238"/>
    </row>
    <row r="111" spans="1:18" x14ac:dyDescent="0.2">
      <c r="A111" s="238"/>
      <c r="B111" s="238"/>
      <c r="C111" s="238"/>
      <c r="D111" s="238"/>
      <c r="E111" s="238"/>
      <c r="F111" s="238"/>
      <c r="G111" s="238"/>
      <c r="H111" s="238"/>
      <c r="I111" s="238"/>
      <c r="J111" s="238"/>
      <c r="K111" s="238"/>
      <c r="L111" s="238"/>
      <c r="M111" s="238"/>
      <c r="N111" s="238"/>
      <c r="O111" s="238"/>
      <c r="P111" s="238"/>
      <c r="Q111" s="238"/>
      <c r="R111" s="238"/>
    </row>
    <row r="112" spans="1:18" x14ac:dyDescent="0.2">
      <c r="A112" s="238"/>
      <c r="B112" s="238"/>
      <c r="C112" s="238"/>
      <c r="D112" s="238"/>
      <c r="E112" s="238"/>
      <c r="F112" s="238"/>
      <c r="G112" s="238"/>
      <c r="H112" s="238"/>
      <c r="I112" s="238"/>
      <c r="J112" s="238"/>
      <c r="K112" s="238"/>
      <c r="L112" s="238"/>
      <c r="M112" s="238"/>
      <c r="N112" s="238"/>
      <c r="O112" s="238"/>
      <c r="P112" s="238"/>
      <c r="Q112" s="238"/>
      <c r="R112" s="238"/>
    </row>
    <row r="113" spans="1:18" x14ac:dyDescent="0.2">
      <c r="A113" s="238"/>
      <c r="B113" s="238"/>
      <c r="C113" s="238"/>
      <c r="D113" s="238"/>
      <c r="E113" s="238"/>
      <c r="F113" s="238"/>
      <c r="G113" s="238"/>
      <c r="H113" s="238"/>
      <c r="I113" s="238"/>
      <c r="J113" s="238"/>
      <c r="K113" s="238"/>
      <c r="L113" s="238"/>
      <c r="M113" s="238"/>
      <c r="N113" s="238"/>
      <c r="O113" s="238"/>
      <c r="P113" s="238"/>
      <c r="Q113" s="238"/>
      <c r="R113" s="238"/>
    </row>
    <row r="114" spans="1:18" x14ac:dyDescent="0.2">
      <c r="A114" s="238"/>
      <c r="B114" s="238"/>
      <c r="C114" s="238"/>
      <c r="D114" s="238"/>
      <c r="E114" s="238"/>
      <c r="F114" s="238"/>
      <c r="G114" s="238"/>
      <c r="H114" s="238"/>
      <c r="I114" s="238"/>
      <c r="J114" s="238"/>
      <c r="K114" s="238"/>
      <c r="L114" s="238"/>
      <c r="M114" s="238"/>
      <c r="N114" s="238"/>
      <c r="O114" s="238"/>
      <c r="P114" s="238"/>
      <c r="Q114" s="238"/>
      <c r="R114" s="238"/>
    </row>
    <row r="115" spans="1:18" x14ac:dyDescent="0.2">
      <c r="A115" s="238"/>
      <c r="B115" s="238"/>
      <c r="C115" s="238"/>
      <c r="D115" s="238"/>
      <c r="E115" s="238"/>
      <c r="F115" s="238"/>
      <c r="G115" s="238"/>
      <c r="H115" s="238"/>
      <c r="I115" s="238"/>
      <c r="J115" s="238"/>
      <c r="K115" s="238"/>
      <c r="L115" s="238"/>
      <c r="M115" s="238"/>
      <c r="N115" s="238"/>
      <c r="O115" s="238"/>
      <c r="P115" s="238"/>
      <c r="Q115" s="238"/>
      <c r="R115" s="238"/>
    </row>
    <row r="116" spans="1:18" x14ac:dyDescent="0.2">
      <c r="A116" s="238"/>
      <c r="B116" s="238"/>
      <c r="C116" s="238"/>
      <c r="D116" s="238"/>
      <c r="E116" s="238"/>
      <c r="F116" s="238"/>
      <c r="G116" s="238"/>
      <c r="H116" s="238"/>
      <c r="I116" s="238"/>
      <c r="J116" s="238"/>
      <c r="K116" s="238"/>
      <c r="L116" s="238"/>
      <c r="M116" s="238"/>
      <c r="N116" s="238"/>
      <c r="O116" s="238"/>
      <c r="P116" s="238"/>
      <c r="Q116" s="238"/>
      <c r="R116" s="238"/>
    </row>
    <row r="117" spans="1:18" x14ac:dyDescent="0.2">
      <c r="A117" s="238"/>
      <c r="B117" s="238"/>
      <c r="C117" s="238"/>
      <c r="D117" s="238"/>
      <c r="E117" s="238"/>
      <c r="F117" s="238"/>
      <c r="G117" s="238"/>
      <c r="H117" s="238"/>
      <c r="I117" s="238"/>
      <c r="J117" s="238"/>
      <c r="K117" s="238"/>
      <c r="L117" s="238"/>
      <c r="M117" s="238"/>
      <c r="N117" s="238"/>
      <c r="O117" s="238"/>
      <c r="P117" s="238"/>
      <c r="Q117" s="238"/>
      <c r="R117" s="238"/>
    </row>
    <row r="118" spans="1:18" x14ac:dyDescent="0.2">
      <c r="A118" s="238"/>
      <c r="B118" s="238"/>
      <c r="C118" s="238"/>
      <c r="D118" s="238"/>
      <c r="E118" s="238"/>
      <c r="F118" s="238"/>
      <c r="G118" s="238"/>
      <c r="H118" s="238"/>
      <c r="I118" s="238"/>
      <c r="J118" s="238"/>
      <c r="K118" s="238"/>
      <c r="L118" s="238"/>
      <c r="M118" s="238"/>
      <c r="N118" s="238"/>
      <c r="O118" s="238"/>
      <c r="P118" s="238"/>
      <c r="Q118" s="238"/>
      <c r="R118" s="238"/>
    </row>
    <row r="119" spans="1:18" x14ac:dyDescent="0.2">
      <c r="A119" s="238"/>
      <c r="B119" s="238"/>
      <c r="C119" s="238"/>
      <c r="D119" s="238"/>
      <c r="E119" s="238"/>
      <c r="F119" s="238"/>
      <c r="G119" s="238"/>
      <c r="H119" s="238"/>
      <c r="I119" s="238"/>
      <c r="J119" s="238"/>
      <c r="K119" s="238"/>
      <c r="L119" s="238"/>
      <c r="M119" s="238"/>
      <c r="N119" s="238"/>
      <c r="O119" s="238"/>
      <c r="P119" s="238"/>
      <c r="Q119" s="238"/>
      <c r="R119" s="238"/>
    </row>
    <row r="120" spans="1:18" x14ac:dyDescent="0.2">
      <c r="A120" s="238"/>
      <c r="B120" s="238"/>
      <c r="C120" s="238"/>
      <c r="D120" s="238"/>
      <c r="E120" s="238"/>
      <c r="F120" s="238"/>
      <c r="G120" s="238"/>
      <c r="H120" s="238"/>
      <c r="I120" s="238"/>
      <c r="J120" s="238"/>
      <c r="K120" s="238"/>
      <c r="L120" s="238"/>
      <c r="M120" s="238"/>
      <c r="N120" s="238"/>
      <c r="O120" s="238"/>
      <c r="P120" s="238"/>
      <c r="Q120" s="238"/>
      <c r="R120" s="238"/>
    </row>
    <row r="121" spans="1:18" x14ac:dyDescent="0.2">
      <c r="A121" s="238"/>
      <c r="B121" s="238"/>
      <c r="C121" s="238"/>
      <c r="D121" s="238"/>
      <c r="E121" s="238"/>
      <c r="F121" s="238"/>
      <c r="G121" s="238"/>
      <c r="H121" s="238"/>
      <c r="I121" s="238"/>
      <c r="J121" s="238"/>
      <c r="K121" s="238"/>
      <c r="L121" s="238"/>
      <c r="M121" s="238"/>
      <c r="N121" s="238"/>
      <c r="O121" s="238"/>
      <c r="P121" s="238"/>
      <c r="Q121" s="238"/>
      <c r="R121" s="238"/>
    </row>
    <row r="122" spans="1:18" x14ac:dyDescent="0.2">
      <c r="A122" s="238"/>
      <c r="B122" s="238"/>
      <c r="C122" s="238"/>
      <c r="D122" s="238"/>
      <c r="E122" s="238"/>
      <c r="F122" s="238"/>
      <c r="G122" s="238"/>
      <c r="H122" s="238"/>
      <c r="I122" s="238"/>
      <c r="J122" s="238"/>
      <c r="K122" s="238"/>
      <c r="L122" s="238"/>
      <c r="M122" s="238"/>
      <c r="N122" s="238"/>
      <c r="O122" s="238"/>
      <c r="P122" s="238"/>
      <c r="Q122" s="238"/>
      <c r="R122" s="238"/>
    </row>
    <row r="123" spans="1:18" x14ac:dyDescent="0.2">
      <c r="A123" s="238"/>
      <c r="B123" s="238"/>
      <c r="C123" s="238"/>
      <c r="D123" s="238"/>
      <c r="E123" s="238"/>
      <c r="F123" s="238"/>
      <c r="G123" s="238"/>
      <c r="H123" s="238"/>
      <c r="I123" s="238"/>
      <c r="J123" s="238"/>
      <c r="K123" s="238"/>
      <c r="L123" s="238"/>
      <c r="M123" s="238"/>
      <c r="N123" s="238"/>
      <c r="O123" s="238"/>
      <c r="P123" s="238"/>
      <c r="Q123" s="238"/>
      <c r="R123" s="238"/>
    </row>
    <row r="124" spans="1:18" x14ac:dyDescent="0.2">
      <c r="A124" s="238"/>
      <c r="B124" s="238"/>
      <c r="C124" s="238"/>
      <c r="D124" s="238"/>
      <c r="E124" s="238"/>
      <c r="F124" s="238"/>
      <c r="G124" s="238"/>
      <c r="H124" s="238"/>
      <c r="I124" s="238"/>
      <c r="J124" s="238"/>
      <c r="K124" s="238"/>
      <c r="L124" s="238"/>
      <c r="M124" s="238"/>
      <c r="N124" s="238"/>
      <c r="O124" s="238"/>
      <c r="P124" s="238"/>
      <c r="Q124" s="238"/>
      <c r="R124" s="238"/>
    </row>
    <row r="125" spans="1:18" x14ac:dyDescent="0.2">
      <c r="A125" s="238"/>
      <c r="B125" s="238"/>
      <c r="C125" s="238"/>
      <c r="D125" s="238"/>
      <c r="E125" s="238"/>
      <c r="F125" s="238"/>
      <c r="G125" s="238"/>
      <c r="H125" s="238"/>
      <c r="I125" s="238"/>
      <c r="J125" s="238"/>
      <c r="K125" s="238"/>
      <c r="L125" s="238"/>
      <c r="M125" s="238"/>
      <c r="N125" s="238"/>
      <c r="O125" s="238"/>
      <c r="P125" s="238"/>
      <c r="Q125" s="238"/>
      <c r="R125" s="238"/>
    </row>
    <row r="126" spans="1:18" x14ac:dyDescent="0.2">
      <c r="A126" s="238"/>
      <c r="B126" s="238"/>
      <c r="C126" s="238"/>
      <c r="D126" s="238"/>
      <c r="E126" s="238"/>
      <c r="F126" s="238"/>
      <c r="G126" s="238"/>
      <c r="H126" s="238"/>
      <c r="I126" s="238"/>
      <c r="J126" s="238"/>
      <c r="K126" s="238"/>
      <c r="L126" s="238"/>
      <c r="M126" s="238"/>
      <c r="N126" s="238"/>
      <c r="O126" s="238"/>
      <c r="P126" s="238"/>
      <c r="Q126" s="238"/>
      <c r="R126" s="238"/>
    </row>
    <row r="127" spans="1:18" x14ac:dyDescent="0.2">
      <c r="A127" s="238"/>
      <c r="B127" s="238"/>
      <c r="C127" s="238"/>
      <c r="D127" s="238"/>
      <c r="E127" s="238"/>
      <c r="F127" s="238"/>
      <c r="G127" s="238"/>
      <c r="H127" s="238"/>
      <c r="I127" s="238"/>
      <c r="J127" s="238"/>
      <c r="K127" s="238"/>
      <c r="L127" s="238"/>
      <c r="M127" s="238"/>
      <c r="N127" s="238"/>
      <c r="O127" s="238"/>
      <c r="P127" s="238"/>
      <c r="Q127" s="238"/>
      <c r="R127" s="238"/>
    </row>
    <row r="128" spans="1:18" x14ac:dyDescent="0.2">
      <c r="A128" s="238"/>
      <c r="B128" s="238"/>
      <c r="C128" s="238"/>
      <c r="D128" s="238"/>
      <c r="E128" s="238"/>
      <c r="F128" s="238"/>
      <c r="G128" s="238"/>
      <c r="H128" s="238"/>
      <c r="I128" s="238"/>
      <c r="J128" s="238"/>
      <c r="K128" s="238"/>
      <c r="L128" s="238"/>
      <c r="M128" s="238"/>
      <c r="N128" s="238"/>
      <c r="O128" s="238"/>
      <c r="P128" s="238"/>
      <c r="Q128" s="238"/>
      <c r="R128" s="238"/>
    </row>
    <row r="129" spans="1:18" x14ac:dyDescent="0.2">
      <c r="A129" s="238"/>
      <c r="B129" s="238"/>
      <c r="C129" s="238"/>
      <c r="D129" s="238"/>
      <c r="E129" s="238"/>
      <c r="F129" s="238"/>
      <c r="G129" s="238"/>
      <c r="H129" s="238"/>
      <c r="I129" s="238"/>
      <c r="J129" s="238"/>
      <c r="K129" s="238"/>
      <c r="L129" s="238"/>
      <c r="M129" s="238"/>
      <c r="N129" s="238"/>
      <c r="O129" s="238"/>
      <c r="P129" s="238"/>
      <c r="Q129" s="238"/>
      <c r="R129" s="238"/>
    </row>
    <row r="130" spans="1:18" x14ac:dyDescent="0.2">
      <c r="A130" s="238"/>
      <c r="B130" s="238"/>
      <c r="C130" s="238"/>
      <c r="D130" s="238"/>
      <c r="E130" s="238"/>
      <c r="F130" s="238"/>
      <c r="G130" s="238"/>
      <c r="H130" s="238"/>
      <c r="I130" s="238"/>
      <c r="J130" s="238"/>
      <c r="K130" s="238"/>
      <c r="L130" s="238"/>
      <c r="M130" s="238"/>
      <c r="N130" s="238"/>
      <c r="O130" s="238"/>
      <c r="P130" s="238"/>
      <c r="Q130" s="238"/>
      <c r="R130" s="238"/>
    </row>
    <row r="131" spans="1:18" x14ac:dyDescent="0.2">
      <c r="A131" s="238"/>
      <c r="B131" s="238"/>
      <c r="C131" s="238"/>
      <c r="D131" s="238"/>
      <c r="E131" s="238"/>
      <c r="F131" s="238"/>
      <c r="G131" s="238"/>
      <c r="H131" s="238"/>
      <c r="I131" s="238"/>
      <c r="J131" s="238"/>
      <c r="K131" s="238"/>
      <c r="L131" s="238"/>
      <c r="M131" s="238"/>
      <c r="N131" s="238"/>
      <c r="O131" s="238"/>
      <c r="P131" s="238"/>
      <c r="Q131" s="238"/>
      <c r="R131" s="238"/>
    </row>
    <row r="132" spans="1:18" x14ac:dyDescent="0.2">
      <c r="A132" s="238"/>
      <c r="B132" s="238"/>
      <c r="C132" s="238"/>
      <c r="D132" s="238"/>
      <c r="E132" s="238"/>
      <c r="F132" s="238"/>
      <c r="G132" s="238"/>
      <c r="H132" s="238"/>
      <c r="I132" s="238"/>
      <c r="J132" s="238"/>
      <c r="K132" s="238"/>
      <c r="L132" s="238"/>
      <c r="M132" s="238"/>
      <c r="N132" s="238"/>
      <c r="O132" s="238"/>
      <c r="P132" s="238"/>
      <c r="Q132" s="238"/>
      <c r="R132" s="238"/>
    </row>
    <row r="133" spans="1:18" x14ac:dyDescent="0.2">
      <c r="A133" s="238"/>
      <c r="B133" s="238"/>
      <c r="C133" s="238"/>
      <c r="D133" s="238"/>
      <c r="E133" s="238"/>
      <c r="F133" s="238"/>
      <c r="G133" s="238"/>
      <c r="H133" s="238"/>
      <c r="I133" s="238"/>
      <c r="J133" s="238"/>
      <c r="K133" s="238"/>
      <c r="L133" s="238"/>
      <c r="M133" s="238"/>
      <c r="N133" s="238"/>
      <c r="O133" s="238"/>
      <c r="P133" s="238"/>
      <c r="Q133" s="238"/>
      <c r="R133" s="238"/>
    </row>
    <row r="134" spans="1:18" x14ac:dyDescent="0.2">
      <c r="A134" s="238"/>
      <c r="B134" s="238"/>
      <c r="C134" s="238"/>
      <c r="D134" s="238"/>
      <c r="E134" s="238"/>
      <c r="F134" s="238"/>
      <c r="G134" s="238"/>
      <c r="H134" s="238"/>
      <c r="I134" s="238"/>
      <c r="J134" s="238"/>
      <c r="K134" s="238"/>
      <c r="L134" s="238"/>
      <c r="M134" s="238"/>
      <c r="N134" s="238"/>
      <c r="O134" s="238"/>
      <c r="P134" s="238"/>
      <c r="Q134" s="238"/>
      <c r="R134" s="238"/>
    </row>
    <row r="135" spans="1:18" x14ac:dyDescent="0.2">
      <c r="A135" s="238"/>
      <c r="B135" s="238"/>
      <c r="C135" s="238"/>
      <c r="D135" s="238"/>
      <c r="E135" s="238"/>
      <c r="F135" s="238"/>
      <c r="G135" s="238"/>
      <c r="H135" s="238"/>
      <c r="I135" s="238"/>
      <c r="J135" s="238"/>
      <c r="K135" s="238"/>
      <c r="L135" s="238"/>
      <c r="M135" s="238"/>
      <c r="N135" s="238"/>
      <c r="O135" s="238"/>
      <c r="P135" s="238"/>
      <c r="Q135" s="238"/>
      <c r="R135" s="238"/>
    </row>
    <row r="136" spans="1:18" x14ac:dyDescent="0.2">
      <c r="A136" s="238"/>
      <c r="B136" s="238"/>
      <c r="C136" s="238"/>
      <c r="D136" s="238"/>
      <c r="E136" s="238"/>
      <c r="F136" s="238"/>
      <c r="G136" s="238"/>
      <c r="H136" s="238"/>
      <c r="I136" s="238"/>
      <c r="J136" s="238"/>
      <c r="K136" s="238"/>
      <c r="L136" s="238"/>
      <c r="M136" s="238"/>
      <c r="N136" s="238"/>
      <c r="O136" s="238"/>
      <c r="P136" s="238"/>
      <c r="Q136" s="238"/>
      <c r="R136" s="238"/>
    </row>
    <row r="137" spans="1:18" x14ac:dyDescent="0.2">
      <c r="A137" s="238"/>
      <c r="B137" s="238"/>
      <c r="C137" s="238"/>
      <c r="D137" s="238"/>
      <c r="E137" s="238"/>
      <c r="F137" s="238"/>
      <c r="G137" s="238"/>
      <c r="H137" s="238"/>
      <c r="I137" s="238"/>
      <c r="J137" s="238"/>
      <c r="K137" s="238"/>
      <c r="L137" s="238"/>
      <c r="M137" s="238"/>
      <c r="N137" s="238"/>
      <c r="O137" s="238"/>
      <c r="P137" s="238"/>
      <c r="Q137" s="238"/>
      <c r="R137" s="238"/>
    </row>
    <row r="138" spans="1:18" x14ac:dyDescent="0.2">
      <c r="A138" s="238"/>
      <c r="B138" s="238"/>
      <c r="C138" s="238"/>
      <c r="D138" s="238"/>
      <c r="E138" s="238"/>
      <c r="F138" s="238"/>
      <c r="G138" s="238"/>
      <c r="H138" s="238"/>
      <c r="I138" s="238"/>
      <c r="J138" s="238"/>
      <c r="K138" s="238"/>
      <c r="L138" s="238"/>
      <c r="M138" s="238"/>
      <c r="N138" s="238"/>
      <c r="O138" s="238"/>
      <c r="P138" s="238"/>
      <c r="Q138" s="238"/>
      <c r="R138" s="238"/>
    </row>
    <row r="139" spans="1:18" x14ac:dyDescent="0.2">
      <c r="A139" s="238"/>
      <c r="B139" s="238"/>
      <c r="C139" s="238"/>
      <c r="D139" s="238"/>
      <c r="E139" s="238"/>
      <c r="F139" s="238"/>
      <c r="G139" s="238"/>
      <c r="H139" s="238"/>
      <c r="I139" s="238"/>
      <c r="J139" s="238"/>
      <c r="K139" s="238"/>
      <c r="L139" s="238"/>
      <c r="M139" s="238"/>
      <c r="N139" s="238"/>
      <c r="O139" s="238"/>
      <c r="P139" s="238"/>
      <c r="Q139" s="238"/>
      <c r="R139" s="238"/>
    </row>
    <row r="140" spans="1:18" x14ac:dyDescent="0.2">
      <c r="A140" s="238"/>
      <c r="B140" s="238"/>
      <c r="C140" s="238"/>
      <c r="D140" s="238"/>
      <c r="E140" s="238"/>
      <c r="F140" s="238"/>
      <c r="G140" s="238"/>
      <c r="H140" s="238"/>
      <c r="I140" s="238"/>
      <c r="J140" s="238"/>
      <c r="K140" s="238"/>
      <c r="L140" s="238"/>
      <c r="M140" s="238"/>
      <c r="N140" s="238"/>
      <c r="O140" s="238"/>
      <c r="P140" s="238"/>
      <c r="Q140" s="238"/>
      <c r="R140" s="238"/>
    </row>
    <row r="141" spans="1:18" x14ac:dyDescent="0.2">
      <c r="A141" s="238"/>
      <c r="B141" s="238"/>
      <c r="C141" s="238"/>
      <c r="D141" s="238"/>
      <c r="E141" s="238"/>
      <c r="F141" s="238"/>
      <c r="G141" s="238"/>
      <c r="H141" s="238"/>
      <c r="I141" s="238"/>
      <c r="J141" s="238"/>
      <c r="K141" s="238"/>
      <c r="L141" s="238"/>
      <c r="M141" s="238"/>
      <c r="N141" s="238"/>
      <c r="O141" s="238"/>
      <c r="P141" s="238"/>
      <c r="Q141" s="238"/>
      <c r="R141" s="238"/>
    </row>
    <row r="142" spans="1:18" x14ac:dyDescent="0.2">
      <c r="A142" s="238"/>
      <c r="B142" s="238"/>
      <c r="C142" s="238"/>
      <c r="D142" s="238"/>
      <c r="E142" s="238"/>
      <c r="F142" s="238"/>
      <c r="G142" s="238"/>
      <c r="H142" s="238"/>
      <c r="I142" s="238"/>
      <c r="J142" s="238"/>
      <c r="K142" s="238"/>
      <c r="L142" s="238"/>
      <c r="M142" s="238"/>
      <c r="N142" s="238"/>
      <c r="O142" s="238"/>
      <c r="P142" s="238"/>
      <c r="Q142" s="238"/>
      <c r="R142" s="238"/>
    </row>
    <row r="143" spans="1:18" x14ac:dyDescent="0.2">
      <c r="A143" s="238"/>
      <c r="B143" s="238"/>
      <c r="C143" s="238"/>
      <c r="D143" s="238"/>
      <c r="E143" s="238"/>
      <c r="F143" s="238"/>
      <c r="G143" s="238"/>
      <c r="H143" s="238"/>
      <c r="I143" s="238"/>
      <c r="J143" s="238"/>
      <c r="K143" s="238"/>
      <c r="L143" s="238"/>
      <c r="M143" s="238"/>
      <c r="N143" s="238"/>
      <c r="O143" s="238"/>
      <c r="P143" s="238"/>
      <c r="Q143" s="238"/>
      <c r="R143" s="238"/>
    </row>
    <row r="144" spans="1:18" x14ac:dyDescent="0.2">
      <c r="A144" s="238"/>
      <c r="B144" s="238"/>
      <c r="C144" s="238"/>
      <c r="D144" s="238"/>
      <c r="E144" s="238"/>
      <c r="F144" s="238"/>
      <c r="G144" s="238"/>
      <c r="H144" s="238"/>
      <c r="I144" s="238"/>
      <c r="J144" s="238"/>
      <c r="K144" s="238"/>
      <c r="L144" s="238"/>
      <c r="M144" s="238"/>
      <c r="N144" s="238"/>
      <c r="O144" s="238"/>
      <c r="P144" s="238"/>
      <c r="Q144" s="238"/>
      <c r="R144" s="238"/>
    </row>
    <row r="145" spans="1:18" x14ac:dyDescent="0.2">
      <c r="A145" s="238"/>
      <c r="B145" s="238"/>
      <c r="C145" s="238"/>
      <c r="D145" s="238"/>
      <c r="E145" s="238"/>
      <c r="F145" s="238"/>
      <c r="G145" s="238"/>
      <c r="H145" s="238"/>
      <c r="I145" s="238"/>
      <c r="J145" s="238"/>
      <c r="K145" s="238"/>
      <c r="L145" s="238"/>
      <c r="M145" s="238"/>
      <c r="N145" s="238"/>
      <c r="O145" s="238"/>
      <c r="P145" s="238"/>
      <c r="Q145" s="238"/>
      <c r="R145" s="238"/>
    </row>
    <row r="146" spans="1:18" x14ac:dyDescent="0.2">
      <c r="A146" s="238"/>
      <c r="B146" s="238"/>
      <c r="C146" s="238"/>
      <c r="D146" s="238"/>
      <c r="E146" s="238"/>
      <c r="F146" s="238"/>
      <c r="G146" s="238"/>
      <c r="H146" s="238"/>
      <c r="I146" s="238"/>
      <c r="J146" s="238"/>
      <c r="K146" s="238"/>
      <c r="L146" s="238"/>
      <c r="M146" s="238"/>
      <c r="N146" s="238"/>
      <c r="O146" s="238"/>
      <c r="P146" s="238"/>
      <c r="Q146" s="238"/>
      <c r="R146" s="238"/>
    </row>
    <row r="147" spans="1:18" x14ac:dyDescent="0.2">
      <c r="A147" s="238"/>
      <c r="B147" s="238"/>
      <c r="C147" s="238"/>
      <c r="D147" s="238"/>
      <c r="E147" s="238"/>
      <c r="F147" s="238"/>
      <c r="G147" s="238"/>
      <c r="H147" s="238"/>
      <c r="I147" s="238"/>
      <c r="J147" s="238"/>
      <c r="K147" s="238"/>
      <c r="L147" s="238"/>
      <c r="M147" s="238"/>
      <c r="N147" s="238"/>
      <c r="O147" s="238"/>
      <c r="P147" s="238"/>
      <c r="Q147" s="238"/>
      <c r="R147" s="238"/>
    </row>
    <row r="148" spans="1:18" x14ac:dyDescent="0.2">
      <c r="A148" s="238"/>
      <c r="B148" s="238"/>
      <c r="C148" s="238"/>
      <c r="D148" s="238"/>
      <c r="E148" s="238"/>
      <c r="F148" s="238"/>
      <c r="G148" s="238"/>
      <c r="H148" s="238"/>
      <c r="I148" s="238"/>
      <c r="J148" s="238"/>
      <c r="K148" s="238"/>
      <c r="L148" s="238"/>
      <c r="M148" s="238"/>
      <c r="N148" s="238"/>
      <c r="O148" s="238"/>
      <c r="P148" s="238"/>
      <c r="Q148" s="238"/>
      <c r="R148" s="238"/>
    </row>
    <row r="149" spans="1:18" x14ac:dyDescent="0.2">
      <c r="A149" s="238"/>
      <c r="B149" s="238"/>
      <c r="C149" s="238"/>
      <c r="D149" s="238"/>
      <c r="E149" s="238"/>
      <c r="F149" s="238"/>
      <c r="G149" s="238"/>
      <c r="H149" s="238"/>
      <c r="I149" s="238"/>
      <c r="J149" s="238"/>
      <c r="K149" s="238"/>
      <c r="L149" s="238"/>
      <c r="M149" s="238"/>
      <c r="N149" s="238"/>
      <c r="O149" s="238"/>
      <c r="P149" s="238"/>
      <c r="Q149" s="238"/>
      <c r="R149" s="238"/>
    </row>
    <row r="150" spans="1:18" x14ac:dyDescent="0.2">
      <c r="A150" s="238"/>
      <c r="B150" s="238"/>
      <c r="C150" s="238"/>
      <c r="D150" s="238"/>
      <c r="E150" s="238"/>
      <c r="F150" s="238"/>
      <c r="G150" s="238"/>
      <c r="H150" s="238"/>
      <c r="I150" s="238"/>
      <c r="J150" s="238"/>
      <c r="K150" s="238"/>
      <c r="L150" s="238"/>
      <c r="M150" s="238"/>
      <c r="N150" s="238"/>
      <c r="O150" s="238"/>
      <c r="P150" s="238"/>
      <c r="Q150" s="238"/>
      <c r="R150" s="238"/>
    </row>
    <row r="151" spans="1:18" x14ac:dyDescent="0.2">
      <c r="A151" s="238"/>
      <c r="B151" s="238"/>
      <c r="C151" s="238"/>
      <c r="D151" s="238"/>
      <c r="E151" s="238"/>
      <c r="F151" s="238"/>
      <c r="G151" s="238"/>
      <c r="H151" s="238"/>
      <c r="I151" s="238"/>
      <c r="J151" s="238"/>
      <c r="K151" s="238"/>
      <c r="L151" s="238"/>
      <c r="M151" s="238"/>
      <c r="N151" s="238"/>
      <c r="O151" s="238"/>
      <c r="P151" s="238"/>
      <c r="Q151" s="238"/>
      <c r="R151" s="238"/>
    </row>
    <row r="152" spans="1:18" x14ac:dyDescent="0.2">
      <c r="A152" s="238"/>
      <c r="B152" s="238"/>
      <c r="C152" s="238"/>
      <c r="D152" s="238"/>
      <c r="E152" s="238"/>
      <c r="F152" s="238"/>
      <c r="G152" s="238"/>
      <c r="H152" s="238"/>
      <c r="I152" s="238"/>
      <c r="J152" s="238"/>
      <c r="K152" s="238"/>
      <c r="L152" s="238"/>
      <c r="M152" s="238"/>
      <c r="N152" s="238"/>
      <c r="O152" s="238"/>
      <c r="P152" s="238"/>
      <c r="Q152" s="238"/>
      <c r="R152" s="238"/>
    </row>
    <row r="153" spans="1:18" x14ac:dyDescent="0.2">
      <c r="A153" s="238"/>
      <c r="B153" s="238"/>
      <c r="C153" s="238"/>
      <c r="D153" s="238"/>
      <c r="E153" s="238"/>
      <c r="F153" s="238"/>
      <c r="G153" s="238"/>
      <c r="H153" s="238"/>
      <c r="I153" s="238"/>
      <c r="J153" s="238"/>
      <c r="K153" s="238"/>
      <c r="L153" s="238"/>
      <c r="M153" s="238"/>
      <c r="N153" s="238"/>
      <c r="O153" s="238"/>
      <c r="P153" s="238"/>
      <c r="Q153" s="238"/>
      <c r="R153" s="238"/>
    </row>
    <row r="154" spans="1:18" x14ac:dyDescent="0.2">
      <c r="A154" s="238"/>
      <c r="B154" s="238"/>
      <c r="C154" s="238"/>
      <c r="D154" s="238"/>
      <c r="E154" s="238"/>
      <c r="F154" s="238"/>
      <c r="G154" s="238"/>
      <c r="H154" s="238"/>
      <c r="I154" s="238"/>
      <c r="J154" s="238"/>
      <c r="K154" s="238"/>
      <c r="L154" s="238"/>
      <c r="M154" s="238"/>
      <c r="N154" s="238"/>
      <c r="O154" s="238"/>
      <c r="P154" s="238"/>
      <c r="Q154" s="238"/>
      <c r="R154" s="238"/>
    </row>
    <row r="155" spans="1:18" x14ac:dyDescent="0.2">
      <c r="A155" s="238"/>
      <c r="B155" s="238"/>
      <c r="C155" s="238"/>
      <c r="D155" s="238"/>
      <c r="E155" s="238"/>
      <c r="F155" s="238"/>
      <c r="G155" s="238"/>
      <c r="H155" s="238"/>
      <c r="I155" s="238"/>
      <c r="J155" s="238"/>
      <c r="K155" s="238"/>
      <c r="L155" s="238"/>
      <c r="M155" s="238"/>
      <c r="N155" s="238"/>
      <c r="O155" s="238"/>
      <c r="P155" s="238"/>
      <c r="Q155" s="238"/>
      <c r="R155" s="238"/>
    </row>
    <row r="156" spans="1:18" x14ac:dyDescent="0.2">
      <c r="A156" s="238"/>
      <c r="B156" s="238"/>
      <c r="C156" s="238"/>
      <c r="D156" s="238"/>
      <c r="E156" s="238"/>
      <c r="F156" s="238"/>
      <c r="G156" s="238"/>
      <c r="H156" s="238"/>
      <c r="I156" s="238"/>
      <c r="J156" s="238"/>
      <c r="K156" s="238"/>
      <c r="L156" s="238"/>
      <c r="M156" s="238"/>
      <c r="N156" s="238"/>
      <c r="O156" s="238"/>
      <c r="P156" s="238"/>
      <c r="Q156" s="238"/>
      <c r="R156" s="238"/>
    </row>
    <row r="157" spans="1:18" x14ac:dyDescent="0.2">
      <c r="A157" s="238"/>
      <c r="B157" s="238"/>
      <c r="C157" s="238"/>
      <c r="D157" s="238"/>
      <c r="E157" s="238"/>
      <c r="F157" s="238"/>
      <c r="G157" s="238"/>
      <c r="H157" s="238"/>
      <c r="I157" s="238"/>
      <c r="J157" s="238"/>
      <c r="K157" s="238"/>
      <c r="L157" s="238"/>
      <c r="M157" s="238"/>
      <c r="N157" s="238"/>
      <c r="O157" s="238"/>
      <c r="P157" s="238"/>
      <c r="Q157" s="238"/>
      <c r="R157" s="238"/>
    </row>
    <row r="158" spans="1:18" x14ac:dyDescent="0.2">
      <c r="A158" s="238"/>
      <c r="B158" s="238"/>
      <c r="C158" s="238"/>
      <c r="D158" s="238"/>
      <c r="E158" s="238"/>
      <c r="F158" s="238"/>
      <c r="G158" s="238"/>
      <c r="H158" s="238"/>
      <c r="I158" s="238"/>
      <c r="J158" s="238"/>
      <c r="K158" s="238"/>
      <c r="L158" s="238"/>
      <c r="M158" s="238"/>
      <c r="N158" s="238"/>
      <c r="O158" s="238"/>
      <c r="P158" s="238"/>
      <c r="Q158" s="238"/>
      <c r="R158" s="238"/>
    </row>
    <row r="159" spans="1:18" x14ac:dyDescent="0.2">
      <c r="A159" s="238"/>
      <c r="B159" s="238"/>
      <c r="C159" s="238"/>
      <c r="D159" s="238"/>
      <c r="E159" s="238"/>
      <c r="F159" s="238"/>
      <c r="G159" s="238"/>
      <c r="H159" s="238"/>
      <c r="I159" s="238"/>
      <c r="J159" s="238"/>
      <c r="K159" s="238"/>
      <c r="L159" s="238"/>
      <c r="M159" s="238"/>
      <c r="N159" s="238"/>
      <c r="O159" s="238"/>
      <c r="P159" s="238"/>
      <c r="Q159" s="238"/>
      <c r="R159" s="238"/>
    </row>
    <row r="160" spans="1:18" x14ac:dyDescent="0.2">
      <c r="A160" s="238"/>
      <c r="B160" s="238"/>
      <c r="C160" s="238"/>
      <c r="D160" s="238"/>
      <c r="E160" s="238"/>
      <c r="F160" s="238"/>
      <c r="G160" s="238"/>
      <c r="H160" s="238"/>
      <c r="I160" s="238"/>
      <c r="J160" s="238"/>
      <c r="K160" s="238"/>
      <c r="L160" s="238"/>
      <c r="M160" s="238"/>
      <c r="N160" s="238"/>
      <c r="O160" s="238"/>
      <c r="P160" s="238"/>
      <c r="Q160" s="238"/>
      <c r="R160" s="238"/>
    </row>
    <row r="161" spans="1:18" x14ac:dyDescent="0.2">
      <c r="A161" s="238"/>
      <c r="B161" s="238"/>
      <c r="C161" s="238"/>
      <c r="D161" s="238"/>
      <c r="E161" s="238"/>
      <c r="F161" s="238"/>
      <c r="G161" s="238"/>
      <c r="H161" s="238"/>
      <c r="I161" s="238"/>
      <c r="J161" s="238"/>
      <c r="K161" s="238"/>
      <c r="L161" s="238"/>
      <c r="M161" s="238"/>
      <c r="N161" s="238"/>
      <c r="O161" s="238"/>
      <c r="P161" s="238"/>
      <c r="Q161" s="238"/>
      <c r="R161" s="238"/>
    </row>
    <row r="162" spans="1:18" x14ac:dyDescent="0.2">
      <c r="A162" s="238"/>
      <c r="B162" s="238"/>
      <c r="C162" s="238"/>
      <c r="D162" s="238"/>
      <c r="E162" s="238"/>
      <c r="F162" s="238"/>
      <c r="G162" s="238"/>
      <c r="H162" s="238"/>
      <c r="I162" s="238"/>
      <c r="J162" s="238"/>
      <c r="K162" s="238"/>
      <c r="L162" s="238"/>
      <c r="M162" s="238"/>
      <c r="N162" s="238"/>
      <c r="O162" s="238"/>
      <c r="P162" s="238"/>
      <c r="Q162" s="238"/>
      <c r="R162" s="238"/>
    </row>
    <row r="163" spans="1:18" x14ac:dyDescent="0.2">
      <c r="A163" s="238"/>
      <c r="B163" s="238"/>
      <c r="C163" s="238"/>
      <c r="D163" s="238"/>
      <c r="E163" s="238"/>
      <c r="F163" s="238"/>
      <c r="G163" s="238"/>
      <c r="H163" s="238"/>
      <c r="I163" s="238"/>
      <c r="J163" s="238"/>
      <c r="K163" s="238"/>
      <c r="L163" s="238"/>
      <c r="M163" s="238"/>
      <c r="N163" s="238"/>
      <c r="O163" s="238"/>
      <c r="P163" s="238"/>
      <c r="Q163" s="238"/>
      <c r="R163" s="238"/>
    </row>
    <row r="164" spans="1:18" x14ac:dyDescent="0.2">
      <c r="A164" s="238"/>
      <c r="B164" s="238"/>
      <c r="C164" s="238"/>
      <c r="D164" s="238"/>
      <c r="E164" s="238"/>
      <c r="F164" s="238"/>
      <c r="G164" s="238"/>
      <c r="H164" s="238"/>
      <c r="I164" s="238"/>
      <c r="J164" s="238"/>
      <c r="K164" s="238"/>
      <c r="L164" s="238"/>
      <c r="M164" s="238"/>
      <c r="N164" s="238"/>
      <c r="O164" s="238"/>
      <c r="P164" s="238"/>
      <c r="Q164" s="238"/>
      <c r="R164" s="238"/>
    </row>
    <row r="165" spans="1:18" x14ac:dyDescent="0.2">
      <c r="A165" s="238"/>
      <c r="B165" s="238"/>
      <c r="C165" s="238"/>
      <c r="D165" s="238"/>
      <c r="E165" s="238"/>
      <c r="F165" s="238"/>
      <c r="G165" s="238"/>
      <c r="H165" s="238"/>
      <c r="I165" s="238"/>
      <c r="J165" s="238"/>
      <c r="K165" s="238"/>
      <c r="L165" s="238"/>
      <c r="M165" s="238"/>
      <c r="N165" s="238"/>
      <c r="O165" s="238"/>
      <c r="P165" s="238"/>
      <c r="Q165" s="238"/>
      <c r="R165" s="238"/>
    </row>
    <row r="166" spans="1:18" x14ac:dyDescent="0.2">
      <c r="A166" s="238"/>
      <c r="B166" s="238"/>
      <c r="C166" s="238"/>
      <c r="D166" s="238"/>
      <c r="E166" s="238"/>
      <c r="F166" s="238"/>
      <c r="G166" s="238"/>
      <c r="H166" s="238"/>
      <c r="I166" s="238"/>
      <c r="J166" s="238"/>
      <c r="K166" s="238"/>
      <c r="L166" s="238"/>
      <c r="M166" s="238"/>
      <c r="N166" s="238"/>
      <c r="O166" s="238"/>
      <c r="P166" s="238"/>
      <c r="Q166" s="238"/>
      <c r="R166" s="238"/>
    </row>
    <row r="167" spans="1:18" x14ac:dyDescent="0.2">
      <c r="A167" s="238"/>
      <c r="B167" s="238"/>
      <c r="C167" s="238"/>
      <c r="D167" s="238"/>
      <c r="E167" s="238"/>
      <c r="F167" s="238"/>
      <c r="G167" s="238"/>
      <c r="H167" s="238"/>
      <c r="I167" s="238"/>
      <c r="J167" s="238"/>
      <c r="K167" s="238"/>
      <c r="L167" s="238"/>
      <c r="M167" s="238"/>
      <c r="N167" s="238"/>
      <c r="O167" s="238"/>
      <c r="P167" s="238"/>
      <c r="Q167" s="238"/>
      <c r="R167" s="238"/>
    </row>
    <row r="168" spans="1:18" x14ac:dyDescent="0.2">
      <c r="A168" s="238"/>
      <c r="B168" s="238"/>
      <c r="C168" s="238"/>
      <c r="D168" s="238"/>
      <c r="E168" s="238"/>
      <c r="F168" s="238"/>
      <c r="G168" s="238"/>
      <c r="H168" s="238"/>
      <c r="I168" s="238"/>
      <c r="J168" s="238"/>
      <c r="K168" s="238"/>
      <c r="L168" s="238"/>
      <c r="M168" s="238"/>
      <c r="N168" s="238"/>
      <c r="O168" s="238"/>
      <c r="P168" s="238"/>
      <c r="Q168" s="238"/>
      <c r="R168" s="238"/>
    </row>
    <row r="169" spans="1:18" x14ac:dyDescent="0.2">
      <c r="A169" s="238"/>
      <c r="B169" s="238"/>
      <c r="C169" s="238"/>
      <c r="D169" s="238"/>
      <c r="E169" s="238"/>
      <c r="F169" s="238"/>
      <c r="G169" s="238"/>
      <c r="H169" s="238"/>
      <c r="I169" s="238"/>
      <c r="J169" s="238"/>
      <c r="K169" s="238"/>
      <c r="L169" s="238"/>
      <c r="M169" s="238"/>
      <c r="N169" s="238"/>
      <c r="O169" s="238"/>
      <c r="P169" s="238"/>
      <c r="Q169" s="238"/>
      <c r="R169" s="238"/>
    </row>
    <row r="170" spans="1:18" x14ac:dyDescent="0.2">
      <c r="A170" s="238"/>
      <c r="B170" s="238"/>
      <c r="C170" s="238"/>
      <c r="D170" s="238"/>
      <c r="E170" s="238"/>
      <c r="F170" s="238"/>
      <c r="G170" s="238"/>
      <c r="H170" s="238"/>
      <c r="I170" s="238"/>
      <c r="J170" s="238"/>
      <c r="K170" s="238"/>
      <c r="L170" s="238"/>
      <c r="M170" s="238"/>
      <c r="N170" s="238"/>
      <c r="O170" s="238"/>
      <c r="P170" s="238"/>
      <c r="Q170" s="238"/>
      <c r="R170" s="238"/>
    </row>
    <row r="171" spans="1:18" x14ac:dyDescent="0.2">
      <c r="A171" s="238"/>
      <c r="B171" s="238"/>
      <c r="C171" s="238"/>
      <c r="D171" s="238"/>
      <c r="E171" s="238"/>
      <c r="F171" s="238"/>
      <c r="G171" s="238"/>
      <c r="H171" s="238"/>
      <c r="I171" s="238"/>
      <c r="J171" s="238"/>
      <c r="K171" s="238"/>
      <c r="L171" s="238"/>
      <c r="M171" s="238"/>
      <c r="N171" s="238"/>
      <c r="O171" s="238"/>
      <c r="P171" s="238"/>
      <c r="Q171" s="238"/>
      <c r="R171" s="238"/>
    </row>
    <row r="172" spans="1:18" x14ac:dyDescent="0.2">
      <c r="A172" s="238"/>
      <c r="B172" s="238"/>
      <c r="C172" s="238"/>
      <c r="D172" s="238"/>
      <c r="E172" s="238"/>
      <c r="F172" s="238"/>
      <c r="G172" s="238"/>
      <c r="H172" s="238"/>
      <c r="I172" s="238"/>
      <c r="J172" s="238"/>
      <c r="K172" s="238"/>
      <c r="L172" s="238"/>
      <c r="M172" s="238"/>
      <c r="N172" s="238"/>
      <c r="O172" s="238"/>
      <c r="P172" s="238"/>
      <c r="Q172" s="238"/>
      <c r="R172" s="238"/>
    </row>
    <row r="173" spans="1:18" x14ac:dyDescent="0.2">
      <c r="A173" s="238"/>
      <c r="B173" s="238"/>
      <c r="C173" s="238"/>
      <c r="D173" s="238"/>
      <c r="E173" s="238"/>
      <c r="F173" s="238"/>
      <c r="G173" s="238"/>
      <c r="H173" s="238"/>
      <c r="I173" s="238"/>
      <c r="J173" s="238"/>
      <c r="K173" s="238"/>
      <c r="L173" s="238"/>
      <c r="M173" s="238"/>
      <c r="N173" s="238"/>
      <c r="O173" s="238"/>
      <c r="P173" s="238"/>
      <c r="Q173" s="238"/>
      <c r="R173" s="238"/>
    </row>
    <row r="174" spans="1:18" x14ac:dyDescent="0.2">
      <c r="A174" s="238"/>
      <c r="B174" s="238"/>
      <c r="C174" s="238"/>
      <c r="D174" s="238"/>
      <c r="E174" s="238"/>
      <c r="F174" s="238"/>
      <c r="G174" s="238"/>
      <c r="H174" s="238"/>
      <c r="I174" s="238"/>
      <c r="J174" s="238"/>
      <c r="K174" s="238"/>
      <c r="L174" s="238"/>
      <c r="M174" s="238"/>
      <c r="N174" s="238"/>
      <c r="O174" s="238"/>
      <c r="P174" s="238"/>
      <c r="Q174" s="238"/>
      <c r="R174" s="238"/>
    </row>
    <row r="175" spans="1:18" x14ac:dyDescent="0.2">
      <c r="A175" s="238"/>
      <c r="B175" s="238"/>
      <c r="C175" s="238"/>
      <c r="D175" s="238"/>
      <c r="E175" s="238"/>
      <c r="F175" s="238"/>
      <c r="G175" s="238"/>
      <c r="H175" s="238"/>
      <c r="I175" s="238"/>
      <c r="J175" s="238"/>
      <c r="K175" s="238"/>
      <c r="L175" s="238"/>
      <c r="M175" s="238"/>
      <c r="N175" s="238"/>
      <c r="O175" s="238"/>
      <c r="P175" s="238"/>
      <c r="Q175" s="238"/>
      <c r="R175" s="238"/>
    </row>
    <row r="176" spans="1:18" x14ac:dyDescent="0.2">
      <c r="A176" s="238"/>
      <c r="B176" s="238"/>
      <c r="C176" s="238"/>
      <c r="D176" s="238"/>
      <c r="E176" s="238"/>
      <c r="F176" s="238"/>
      <c r="G176" s="238"/>
      <c r="H176" s="238"/>
      <c r="I176" s="238"/>
      <c r="J176" s="238"/>
      <c r="K176" s="238"/>
      <c r="L176" s="238"/>
      <c r="M176" s="238"/>
      <c r="N176" s="238"/>
      <c r="O176" s="238"/>
      <c r="P176" s="238"/>
      <c r="Q176" s="238"/>
      <c r="R176" s="238"/>
    </row>
    <row r="177" spans="1:18" x14ac:dyDescent="0.2">
      <c r="A177" s="238"/>
      <c r="B177" s="238"/>
      <c r="C177" s="238"/>
      <c r="D177" s="238"/>
      <c r="E177" s="238"/>
      <c r="F177" s="238"/>
      <c r="G177" s="238"/>
      <c r="H177" s="238"/>
      <c r="I177" s="238"/>
      <c r="J177" s="238"/>
      <c r="K177" s="238"/>
      <c r="L177" s="238"/>
      <c r="M177" s="238"/>
      <c r="N177" s="238"/>
      <c r="O177" s="238"/>
      <c r="P177" s="238"/>
      <c r="Q177" s="238"/>
      <c r="R177" s="238"/>
    </row>
    <row r="178" spans="1:18" x14ac:dyDescent="0.2">
      <c r="A178" s="238"/>
      <c r="B178" s="238"/>
      <c r="C178" s="238"/>
      <c r="D178" s="238"/>
      <c r="E178" s="238"/>
      <c r="F178" s="238"/>
      <c r="G178" s="238"/>
      <c r="H178" s="238"/>
      <c r="I178" s="238"/>
      <c r="J178" s="238"/>
      <c r="K178" s="238"/>
      <c r="L178" s="238"/>
      <c r="M178" s="238"/>
      <c r="N178" s="238"/>
      <c r="O178" s="238"/>
      <c r="P178" s="238"/>
      <c r="Q178" s="238"/>
      <c r="R178" s="238"/>
    </row>
    <row r="179" spans="1:18" x14ac:dyDescent="0.2">
      <c r="A179" s="238"/>
      <c r="B179" s="238"/>
      <c r="C179" s="238"/>
      <c r="D179" s="238"/>
      <c r="E179" s="238"/>
      <c r="F179" s="238"/>
      <c r="G179" s="238"/>
      <c r="H179" s="238"/>
      <c r="I179" s="238"/>
      <c r="J179" s="238"/>
      <c r="K179" s="238"/>
      <c r="L179" s="238"/>
      <c r="M179" s="238"/>
      <c r="N179" s="238"/>
      <c r="O179" s="238"/>
      <c r="P179" s="238"/>
      <c r="Q179" s="238"/>
      <c r="R179" s="238"/>
    </row>
    <row r="180" spans="1:18" x14ac:dyDescent="0.2">
      <c r="A180" s="238"/>
      <c r="B180" s="238"/>
      <c r="C180" s="238"/>
      <c r="D180" s="238"/>
      <c r="E180" s="238"/>
      <c r="F180" s="238"/>
      <c r="G180" s="238"/>
      <c r="H180" s="238"/>
      <c r="I180" s="238"/>
      <c r="J180" s="238"/>
      <c r="K180" s="238"/>
      <c r="L180" s="238"/>
      <c r="M180" s="238"/>
      <c r="N180" s="238"/>
      <c r="O180" s="238"/>
      <c r="P180" s="238"/>
      <c r="Q180" s="238"/>
      <c r="R180" s="238"/>
    </row>
    <row r="181" spans="1:18" x14ac:dyDescent="0.2">
      <c r="A181" s="238"/>
      <c r="B181" s="238"/>
      <c r="C181" s="238"/>
      <c r="D181" s="238"/>
      <c r="E181" s="238"/>
      <c r="F181" s="238"/>
      <c r="G181" s="238"/>
      <c r="H181" s="238"/>
      <c r="I181" s="238"/>
      <c r="J181" s="238"/>
      <c r="K181" s="238"/>
      <c r="L181" s="238"/>
      <c r="M181" s="238"/>
      <c r="N181" s="238"/>
      <c r="O181" s="238"/>
      <c r="P181" s="238"/>
      <c r="Q181" s="238"/>
      <c r="R181" s="238"/>
    </row>
    <row r="182" spans="1:18" x14ac:dyDescent="0.2">
      <c r="A182" s="238"/>
      <c r="B182" s="238"/>
      <c r="C182" s="238"/>
      <c r="D182" s="238"/>
      <c r="E182" s="238"/>
      <c r="F182" s="238"/>
      <c r="G182" s="238"/>
      <c r="H182" s="238"/>
      <c r="I182" s="238"/>
      <c r="J182" s="238"/>
      <c r="K182" s="238"/>
      <c r="L182" s="238"/>
      <c r="M182" s="238"/>
      <c r="N182" s="238"/>
      <c r="O182" s="238"/>
      <c r="P182" s="238"/>
      <c r="Q182" s="238"/>
      <c r="R182" s="238"/>
    </row>
    <row r="183" spans="1:18" x14ac:dyDescent="0.2">
      <c r="A183" s="238"/>
      <c r="B183" s="238"/>
      <c r="C183" s="238"/>
      <c r="D183" s="238"/>
      <c r="E183" s="238"/>
      <c r="F183" s="238"/>
      <c r="G183" s="238"/>
      <c r="H183" s="238"/>
      <c r="I183" s="238"/>
      <c r="J183" s="238"/>
      <c r="K183" s="238"/>
      <c r="L183" s="238"/>
      <c r="M183" s="238"/>
      <c r="N183" s="238"/>
      <c r="O183" s="238"/>
      <c r="P183" s="238"/>
      <c r="Q183" s="238"/>
      <c r="R183" s="238"/>
    </row>
    <row r="184" spans="1:18" x14ac:dyDescent="0.2">
      <c r="A184" s="238"/>
      <c r="B184" s="238"/>
      <c r="C184" s="238"/>
      <c r="D184" s="238"/>
      <c r="E184" s="238"/>
      <c r="F184" s="238"/>
      <c r="G184" s="238"/>
      <c r="H184" s="238"/>
      <c r="I184" s="238"/>
      <c r="J184" s="238"/>
      <c r="K184" s="238"/>
      <c r="L184" s="238"/>
      <c r="M184" s="238"/>
      <c r="N184" s="238"/>
      <c r="O184" s="238"/>
      <c r="P184" s="238"/>
      <c r="Q184" s="238"/>
      <c r="R184" s="238"/>
    </row>
    <row r="185" spans="1:18" x14ac:dyDescent="0.2">
      <c r="A185" s="238"/>
      <c r="B185" s="238"/>
      <c r="C185" s="238"/>
      <c r="D185" s="238"/>
      <c r="E185" s="238"/>
      <c r="F185" s="238"/>
      <c r="G185" s="238"/>
      <c r="H185" s="238"/>
      <c r="I185" s="238"/>
      <c r="J185" s="238"/>
      <c r="K185" s="238"/>
      <c r="L185" s="238"/>
      <c r="M185" s="238"/>
      <c r="N185" s="238"/>
      <c r="O185" s="238"/>
      <c r="P185" s="238"/>
      <c r="Q185" s="238"/>
      <c r="R185" s="238"/>
    </row>
    <row r="186" spans="1:18" x14ac:dyDescent="0.2">
      <c r="A186" s="238"/>
      <c r="B186" s="238"/>
      <c r="C186" s="238"/>
      <c r="D186" s="238"/>
      <c r="E186" s="238"/>
      <c r="F186" s="238"/>
      <c r="G186" s="238"/>
      <c r="H186" s="238"/>
      <c r="I186" s="238"/>
      <c r="J186" s="238"/>
      <c r="K186" s="238"/>
      <c r="L186" s="238"/>
      <c r="M186" s="238"/>
      <c r="N186" s="238"/>
      <c r="O186" s="238"/>
      <c r="P186" s="238"/>
      <c r="Q186" s="238"/>
      <c r="R186" s="238"/>
    </row>
    <row r="187" spans="1:18" x14ac:dyDescent="0.2">
      <c r="A187" s="238"/>
      <c r="B187" s="238"/>
      <c r="C187" s="238"/>
      <c r="D187" s="238"/>
      <c r="E187" s="238"/>
      <c r="F187" s="238"/>
      <c r="G187" s="238"/>
      <c r="H187" s="238"/>
      <c r="I187" s="238"/>
      <c r="J187" s="238"/>
      <c r="K187" s="238"/>
      <c r="L187" s="238"/>
      <c r="M187" s="238"/>
      <c r="N187" s="238"/>
      <c r="O187" s="238"/>
      <c r="P187" s="238"/>
      <c r="Q187" s="238"/>
      <c r="R187" s="238"/>
    </row>
    <row r="188" spans="1:18" x14ac:dyDescent="0.2">
      <c r="A188" s="238"/>
      <c r="B188" s="238"/>
      <c r="C188" s="238"/>
      <c r="D188" s="238"/>
      <c r="E188" s="238"/>
      <c r="F188" s="238"/>
      <c r="G188" s="238"/>
      <c r="H188" s="238"/>
      <c r="I188" s="238"/>
      <c r="J188" s="238"/>
      <c r="K188" s="238"/>
      <c r="L188" s="238"/>
      <c r="M188" s="238"/>
      <c r="N188" s="238"/>
      <c r="O188" s="238"/>
      <c r="P188" s="238"/>
      <c r="Q188" s="238"/>
      <c r="R188" s="238"/>
    </row>
    <row r="189" spans="1:18" x14ac:dyDescent="0.2">
      <c r="A189" s="238"/>
      <c r="B189" s="238"/>
      <c r="C189" s="238"/>
      <c r="D189" s="238"/>
      <c r="E189" s="238"/>
      <c r="F189" s="238"/>
      <c r="G189" s="238"/>
      <c r="H189" s="238"/>
      <c r="I189" s="238"/>
      <c r="J189" s="238"/>
      <c r="K189" s="238"/>
      <c r="L189" s="238"/>
      <c r="M189" s="238"/>
      <c r="N189" s="238"/>
      <c r="O189" s="238"/>
      <c r="P189" s="238"/>
      <c r="Q189" s="238"/>
      <c r="R189" s="238"/>
    </row>
    <row r="190" spans="1:18" x14ac:dyDescent="0.2">
      <c r="A190" s="238"/>
      <c r="B190" s="238"/>
      <c r="C190" s="238"/>
      <c r="D190" s="238"/>
      <c r="E190" s="238"/>
      <c r="F190" s="238"/>
      <c r="G190" s="238"/>
      <c r="H190" s="238"/>
      <c r="I190" s="238"/>
      <c r="J190" s="238"/>
      <c r="K190" s="238"/>
      <c r="L190" s="238"/>
      <c r="M190" s="238"/>
      <c r="N190" s="238"/>
      <c r="O190" s="238"/>
      <c r="P190" s="238"/>
      <c r="Q190" s="238"/>
      <c r="R190" s="238"/>
    </row>
    <row r="191" spans="1:18" x14ac:dyDescent="0.2">
      <c r="A191" s="238"/>
      <c r="B191" s="238"/>
      <c r="C191" s="238"/>
      <c r="D191" s="238"/>
      <c r="E191" s="238"/>
      <c r="F191" s="238"/>
      <c r="G191" s="238"/>
      <c r="H191" s="238"/>
      <c r="I191" s="238"/>
      <c r="J191" s="238"/>
      <c r="K191" s="238"/>
      <c r="L191" s="238"/>
      <c r="M191" s="238"/>
      <c r="N191" s="238"/>
      <c r="O191" s="238"/>
      <c r="P191" s="238"/>
      <c r="Q191" s="238"/>
      <c r="R191" s="238"/>
    </row>
    <row r="192" spans="1:18" x14ac:dyDescent="0.2">
      <c r="A192" s="238"/>
      <c r="B192" s="238"/>
      <c r="C192" s="238"/>
      <c r="D192" s="238"/>
      <c r="E192" s="238"/>
      <c r="F192" s="238"/>
      <c r="G192" s="238"/>
      <c r="H192" s="238"/>
      <c r="I192" s="238"/>
      <c r="J192" s="238"/>
      <c r="K192" s="238"/>
      <c r="L192" s="238"/>
      <c r="M192" s="238"/>
      <c r="N192" s="238"/>
      <c r="O192" s="238"/>
      <c r="P192" s="238"/>
      <c r="Q192" s="238"/>
      <c r="R192" s="238"/>
    </row>
    <row r="193" spans="1:18" x14ac:dyDescent="0.2">
      <c r="A193" s="238"/>
      <c r="B193" s="238"/>
      <c r="C193" s="238"/>
      <c r="D193" s="238"/>
      <c r="E193" s="238"/>
      <c r="F193" s="238"/>
      <c r="G193" s="238"/>
      <c r="H193" s="238"/>
      <c r="I193" s="238"/>
      <c r="J193" s="238"/>
      <c r="K193" s="238"/>
      <c r="L193" s="238"/>
      <c r="M193" s="238"/>
      <c r="N193" s="238"/>
      <c r="O193" s="238"/>
      <c r="P193" s="238"/>
      <c r="Q193" s="238"/>
      <c r="R193" s="238"/>
    </row>
    <row r="194" spans="1:18" x14ac:dyDescent="0.2">
      <c r="A194" s="238"/>
      <c r="B194" s="238"/>
      <c r="C194" s="238"/>
      <c r="D194" s="238"/>
      <c r="E194" s="238"/>
      <c r="F194" s="238"/>
      <c r="G194" s="238"/>
      <c r="H194" s="238"/>
      <c r="I194" s="238"/>
      <c r="J194" s="238"/>
      <c r="K194" s="238"/>
      <c r="L194" s="238"/>
      <c r="M194" s="238"/>
      <c r="N194" s="238"/>
      <c r="O194" s="238"/>
      <c r="P194" s="238"/>
      <c r="Q194" s="238"/>
      <c r="R194" s="238"/>
    </row>
    <row r="195" spans="1:18" x14ac:dyDescent="0.2">
      <c r="A195" s="238"/>
      <c r="B195" s="238"/>
      <c r="C195" s="238"/>
      <c r="D195" s="238"/>
      <c r="E195" s="238"/>
      <c r="F195" s="238"/>
      <c r="G195" s="238"/>
      <c r="H195" s="238"/>
      <c r="I195" s="238"/>
      <c r="J195" s="238"/>
      <c r="K195" s="238"/>
      <c r="L195" s="238"/>
      <c r="M195" s="238"/>
      <c r="N195" s="238"/>
      <c r="O195" s="238"/>
      <c r="P195" s="238"/>
      <c r="Q195" s="238"/>
      <c r="R195" s="238"/>
    </row>
    <row r="196" spans="1:18" x14ac:dyDescent="0.2">
      <c r="A196" s="238"/>
      <c r="B196" s="238"/>
      <c r="C196" s="238"/>
      <c r="D196" s="238"/>
      <c r="E196" s="238"/>
      <c r="F196" s="238"/>
      <c r="G196" s="238"/>
      <c r="H196" s="238"/>
      <c r="I196" s="238"/>
      <c r="J196" s="238"/>
      <c r="K196" s="238"/>
      <c r="L196" s="238"/>
      <c r="M196" s="238"/>
      <c r="N196" s="238"/>
      <c r="O196" s="238"/>
      <c r="P196" s="238"/>
      <c r="Q196" s="238"/>
      <c r="R196" s="238"/>
    </row>
    <row r="197" spans="1:18" x14ac:dyDescent="0.2">
      <c r="A197" s="238"/>
      <c r="B197" s="238"/>
      <c r="C197" s="238"/>
      <c r="D197" s="238"/>
      <c r="E197" s="238"/>
      <c r="F197" s="238"/>
      <c r="G197" s="238"/>
      <c r="H197" s="238"/>
      <c r="I197" s="238"/>
      <c r="J197" s="238"/>
      <c r="K197" s="238"/>
      <c r="L197" s="238"/>
      <c r="M197" s="238"/>
      <c r="N197" s="238"/>
      <c r="O197" s="238"/>
      <c r="P197" s="238"/>
      <c r="Q197" s="238"/>
      <c r="R197" s="238"/>
    </row>
    <row r="198" spans="1:18" x14ac:dyDescent="0.2">
      <c r="A198" s="238"/>
      <c r="B198" s="238"/>
      <c r="C198" s="238"/>
      <c r="D198" s="238"/>
      <c r="E198" s="238"/>
      <c r="F198" s="238"/>
      <c r="G198" s="238"/>
      <c r="H198" s="238"/>
      <c r="I198" s="238"/>
      <c r="J198" s="238"/>
      <c r="K198" s="238"/>
      <c r="L198" s="238"/>
      <c r="M198" s="238"/>
      <c r="N198" s="238"/>
      <c r="O198" s="238"/>
      <c r="P198" s="238"/>
      <c r="Q198" s="238"/>
      <c r="R198" s="238"/>
    </row>
    <row r="199" spans="1:18" x14ac:dyDescent="0.2">
      <c r="A199" s="238"/>
      <c r="B199" s="238"/>
      <c r="C199" s="238"/>
      <c r="D199" s="238"/>
      <c r="E199" s="238"/>
      <c r="F199" s="238"/>
      <c r="G199" s="238"/>
      <c r="H199" s="238"/>
      <c r="I199" s="238"/>
      <c r="J199" s="238"/>
      <c r="K199" s="238"/>
      <c r="L199" s="238"/>
      <c r="M199" s="238"/>
      <c r="N199" s="238"/>
      <c r="O199" s="238"/>
      <c r="P199" s="238"/>
      <c r="Q199" s="238"/>
      <c r="R199" s="238"/>
    </row>
    <row r="200" spans="1:18" x14ac:dyDescent="0.2">
      <c r="A200" s="238"/>
      <c r="B200" s="238"/>
      <c r="C200" s="238"/>
      <c r="D200" s="238"/>
      <c r="E200" s="238"/>
      <c r="F200" s="238"/>
      <c r="G200" s="238"/>
      <c r="H200" s="238"/>
      <c r="I200" s="238"/>
      <c r="J200" s="238"/>
      <c r="K200" s="238"/>
      <c r="L200" s="238"/>
      <c r="M200" s="238"/>
      <c r="N200" s="238"/>
      <c r="O200" s="238"/>
      <c r="P200" s="238"/>
      <c r="Q200" s="238"/>
      <c r="R200" s="238"/>
    </row>
    <row r="201" spans="1:18" x14ac:dyDescent="0.2">
      <c r="A201" s="238"/>
      <c r="B201" s="238"/>
      <c r="C201" s="238"/>
      <c r="D201" s="238"/>
      <c r="E201" s="238"/>
      <c r="F201" s="238"/>
      <c r="G201" s="238"/>
      <c r="H201" s="238"/>
      <c r="I201" s="238"/>
      <c r="J201" s="238"/>
      <c r="K201" s="238"/>
      <c r="L201" s="238"/>
      <c r="M201" s="238"/>
      <c r="N201" s="238"/>
      <c r="O201" s="238"/>
      <c r="P201" s="238"/>
      <c r="Q201" s="238"/>
      <c r="R201" s="238"/>
    </row>
    <row r="202" spans="1:18" x14ac:dyDescent="0.2">
      <c r="A202" s="238"/>
      <c r="B202" s="238"/>
      <c r="C202" s="238"/>
      <c r="D202" s="238"/>
      <c r="E202" s="238"/>
      <c r="F202" s="238"/>
      <c r="G202" s="238"/>
      <c r="H202" s="238"/>
      <c r="I202" s="238"/>
      <c r="J202" s="238"/>
      <c r="K202" s="238"/>
      <c r="L202" s="238"/>
      <c r="M202" s="238"/>
      <c r="N202" s="238"/>
      <c r="O202" s="238"/>
      <c r="P202" s="238"/>
      <c r="Q202" s="238"/>
      <c r="R202" s="238"/>
    </row>
    <row r="203" spans="1:18" x14ac:dyDescent="0.2">
      <c r="A203" s="238"/>
      <c r="B203" s="238"/>
      <c r="C203" s="238"/>
      <c r="D203" s="238"/>
      <c r="E203" s="238"/>
      <c r="F203" s="238"/>
      <c r="G203" s="238"/>
      <c r="H203" s="238"/>
      <c r="I203" s="238"/>
      <c r="J203" s="238"/>
      <c r="K203" s="238"/>
      <c r="L203" s="238"/>
      <c r="M203" s="238"/>
      <c r="N203" s="238"/>
      <c r="O203" s="238"/>
      <c r="P203" s="238"/>
      <c r="Q203" s="238"/>
      <c r="R203" s="238"/>
    </row>
    <row r="204" spans="1:18" x14ac:dyDescent="0.2">
      <c r="A204" s="238"/>
      <c r="B204" s="238"/>
      <c r="C204" s="238"/>
      <c r="D204" s="238"/>
      <c r="E204" s="238"/>
      <c r="F204" s="238"/>
      <c r="G204" s="238"/>
      <c r="H204" s="238"/>
      <c r="I204" s="238"/>
      <c r="J204" s="238"/>
      <c r="K204" s="238"/>
      <c r="L204" s="238"/>
      <c r="M204" s="238"/>
      <c r="N204" s="238"/>
      <c r="O204" s="238"/>
      <c r="P204" s="238"/>
      <c r="Q204" s="238"/>
      <c r="R204" s="238"/>
    </row>
    <row r="205" spans="1:18" x14ac:dyDescent="0.2">
      <c r="A205" s="238"/>
      <c r="B205" s="238"/>
      <c r="C205" s="238"/>
      <c r="D205" s="238"/>
      <c r="E205" s="238"/>
      <c r="F205" s="238"/>
      <c r="G205" s="238"/>
      <c r="H205" s="238"/>
      <c r="I205" s="238"/>
      <c r="J205" s="238"/>
      <c r="K205" s="238"/>
      <c r="L205" s="238"/>
      <c r="M205" s="238"/>
      <c r="N205" s="238"/>
      <c r="O205" s="238"/>
      <c r="P205" s="238"/>
      <c r="Q205" s="238"/>
      <c r="R205" s="238"/>
    </row>
    <row r="206" spans="1:18" x14ac:dyDescent="0.2">
      <c r="A206" s="238"/>
      <c r="B206" s="238"/>
      <c r="C206" s="238"/>
      <c r="D206" s="238"/>
      <c r="E206" s="238"/>
      <c r="F206" s="238"/>
      <c r="G206" s="238"/>
      <c r="H206" s="238"/>
      <c r="I206" s="238"/>
      <c r="J206" s="238"/>
      <c r="K206" s="238"/>
      <c r="L206" s="238"/>
      <c r="M206" s="238"/>
      <c r="N206" s="238"/>
      <c r="O206" s="238"/>
      <c r="P206" s="238"/>
      <c r="Q206" s="238"/>
      <c r="R206" s="238"/>
    </row>
    <row r="207" spans="1:18" x14ac:dyDescent="0.2">
      <c r="A207" s="238"/>
      <c r="B207" s="238"/>
      <c r="C207" s="238"/>
      <c r="D207" s="238"/>
      <c r="E207" s="238"/>
      <c r="F207" s="238"/>
      <c r="G207" s="238"/>
      <c r="H207" s="238"/>
      <c r="I207" s="238"/>
      <c r="J207" s="238"/>
      <c r="K207" s="238"/>
      <c r="L207" s="238"/>
      <c r="M207" s="238"/>
      <c r="N207" s="238"/>
      <c r="O207" s="238"/>
      <c r="P207" s="238"/>
      <c r="Q207" s="238"/>
      <c r="R207" s="238"/>
    </row>
    <row r="208" spans="1:18" x14ac:dyDescent="0.2">
      <c r="A208" s="238"/>
      <c r="B208" s="238"/>
      <c r="C208" s="238"/>
      <c r="D208" s="238"/>
      <c r="E208" s="238"/>
      <c r="F208" s="238"/>
      <c r="G208" s="238"/>
      <c r="H208" s="238"/>
      <c r="I208" s="238"/>
      <c r="J208" s="238"/>
      <c r="K208" s="238"/>
      <c r="L208" s="238"/>
      <c r="M208" s="238"/>
      <c r="N208" s="238"/>
      <c r="O208" s="238"/>
      <c r="P208" s="238"/>
      <c r="Q208" s="238"/>
      <c r="R208" s="238"/>
    </row>
    <row r="209" spans="1:18" x14ac:dyDescent="0.2">
      <c r="A209" s="238"/>
      <c r="B209" s="238"/>
      <c r="C209" s="238"/>
      <c r="D209" s="238"/>
      <c r="E209" s="238"/>
      <c r="F209" s="238"/>
      <c r="G209" s="238"/>
      <c r="H209" s="238"/>
      <c r="I209" s="238"/>
      <c r="J209" s="238"/>
      <c r="K209" s="238"/>
      <c r="L209" s="238"/>
      <c r="M209" s="238"/>
      <c r="N209" s="238"/>
      <c r="O209" s="238"/>
      <c r="P209" s="238"/>
      <c r="Q209" s="238"/>
      <c r="R209" s="238"/>
    </row>
    <row r="210" spans="1:18" x14ac:dyDescent="0.2">
      <c r="A210" s="238"/>
      <c r="B210" s="238"/>
      <c r="C210" s="238"/>
      <c r="D210" s="238"/>
      <c r="E210" s="238"/>
      <c r="F210" s="238"/>
      <c r="G210" s="238"/>
      <c r="H210" s="238"/>
      <c r="I210" s="238"/>
      <c r="J210" s="238"/>
      <c r="K210" s="238"/>
      <c r="L210" s="238"/>
      <c r="M210" s="238"/>
      <c r="N210" s="238"/>
      <c r="O210" s="238"/>
      <c r="P210" s="238"/>
      <c r="Q210" s="238"/>
      <c r="R210" s="238"/>
    </row>
    <row r="211" spans="1:18" x14ac:dyDescent="0.2">
      <c r="A211" s="238"/>
      <c r="B211" s="238"/>
      <c r="C211" s="238"/>
      <c r="D211" s="238"/>
      <c r="E211" s="238"/>
      <c r="F211" s="238"/>
      <c r="G211" s="238"/>
      <c r="H211" s="238"/>
      <c r="I211" s="238"/>
      <c r="J211" s="238"/>
      <c r="K211" s="238"/>
      <c r="L211" s="238"/>
      <c r="M211" s="238"/>
      <c r="N211" s="238"/>
      <c r="O211" s="238"/>
      <c r="P211" s="238"/>
      <c r="Q211" s="238"/>
      <c r="R211" s="238"/>
    </row>
    <row r="212" spans="1:18" x14ac:dyDescent="0.2">
      <c r="A212" s="238"/>
      <c r="B212" s="238"/>
      <c r="C212" s="238"/>
      <c r="D212" s="238"/>
      <c r="E212" s="238"/>
      <c r="F212" s="238"/>
      <c r="G212" s="238"/>
      <c r="H212" s="238"/>
      <c r="I212" s="238"/>
      <c r="J212" s="238"/>
      <c r="K212" s="238"/>
      <c r="L212" s="238"/>
      <c r="M212" s="238"/>
      <c r="N212" s="238"/>
      <c r="O212" s="238"/>
      <c r="P212" s="238"/>
      <c r="Q212" s="238"/>
      <c r="R212" s="238"/>
    </row>
    <row r="213" spans="1:18" x14ac:dyDescent="0.2">
      <c r="A213" s="238"/>
      <c r="B213" s="238"/>
      <c r="C213" s="238"/>
      <c r="D213" s="238"/>
      <c r="E213" s="238"/>
      <c r="F213" s="238"/>
      <c r="G213" s="238"/>
      <c r="H213" s="238"/>
      <c r="I213" s="238"/>
      <c r="J213" s="238"/>
      <c r="K213" s="238"/>
      <c r="L213" s="238"/>
      <c r="M213" s="238"/>
      <c r="N213" s="238"/>
      <c r="O213" s="238"/>
      <c r="P213" s="238"/>
      <c r="Q213" s="238"/>
      <c r="R213" s="238"/>
    </row>
    <row r="214" spans="1:18" x14ac:dyDescent="0.2">
      <c r="A214" s="238"/>
      <c r="B214" s="238"/>
      <c r="C214" s="238"/>
      <c r="D214" s="238"/>
      <c r="E214" s="238"/>
      <c r="F214" s="238"/>
      <c r="G214" s="238"/>
      <c r="H214" s="238"/>
      <c r="I214" s="238"/>
      <c r="J214" s="238"/>
      <c r="K214" s="238"/>
      <c r="L214" s="238"/>
      <c r="M214" s="238"/>
      <c r="N214" s="238"/>
      <c r="O214" s="238"/>
      <c r="P214" s="238"/>
      <c r="Q214" s="238"/>
      <c r="R214" s="238"/>
    </row>
    <row r="215" spans="1:18" x14ac:dyDescent="0.2">
      <c r="A215" s="238"/>
      <c r="B215" s="238"/>
      <c r="C215" s="238"/>
      <c r="D215" s="238"/>
      <c r="E215" s="238"/>
      <c r="F215" s="238"/>
      <c r="G215" s="238"/>
      <c r="H215" s="238"/>
      <c r="I215" s="238"/>
      <c r="J215" s="238"/>
      <c r="K215" s="238"/>
      <c r="L215" s="238"/>
      <c r="M215" s="238"/>
      <c r="N215" s="238"/>
      <c r="O215" s="238"/>
      <c r="P215" s="238"/>
      <c r="Q215" s="238"/>
      <c r="R215" s="238"/>
    </row>
    <row r="216" spans="1:18" x14ac:dyDescent="0.2">
      <c r="A216" s="238"/>
      <c r="B216" s="238"/>
      <c r="C216" s="238"/>
      <c r="D216" s="238"/>
      <c r="E216" s="238"/>
      <c r="F216" s="238"/>
      <c r="G216" s="238"/>
      <c r="H216" s="238"/>
      <c r="I216" s="238"/>
      <c r="J216" s="238"/>
      <c r="K216" s="238"/>
      <c r="L216" s="238"/>
      <c r="M216" s="238"/>
      <c r="N216" s="238"/>
      <c r="O216" s="238"/>
      <c r="P216" s="238"/>
      <c r="Q216" s="238"/>
      <c r="R216" s="238"/>
    </row>
    <row r="217" spans="1:18" x14ac:dyDescent="0.2">
      <c r="A217" s="238"/>
      <c r="B217" s="238"/>
      <c r="C217" s="238"/>
      <c r="D217" s="238"/>
      <c r="E217" s="238"/>
      <c r="F217" s="238"/>
      <c r="G217" s="238"/>
      <c r="H217" s="238"/>
      <c r="I217" s="238"/>
      <c r="J217" s="238"/>
      <c r="K217" s="238"/>
      <c r="L217" s="238"/>
      <c r="M217" s="238"/>
      <c r="N217" s="238"/>
      <c r="O217" s="238"/>
      <c r="P217" s="238"/>
      <c r="Q217" s="238"/>
      <c r="R217" s="238"/>
    </row>
    <row r="218" spans="1:18" x14ac:dyDescent="0.2">
      <c r="A218" s="238"/>
      <c r="B218" s="238"/>
      <c r="C218" s="238"/>
      <c r="D218" s="238"/>
      <c r="E218" s="238"/>
      <c r="F218" s="238"/>
      <c r="G218" s="238"/>
      <c r="H218" s="238"/>
      <c r="I218" s="238"/>
      <c r="J218" s="238"/>
      <c r="K218" s="238"/>
      <c r="L218" s="238"/>
      <c r="M218" s="238"/>
      <c r="N218" s="238"/>
      <c r="O218" s="238"/>
      <c r="P218" s="238"/>
      <c r="Q218" s="238"/>
      <c r="R218" s="238"/>
    </row>
    <row r="219" spans="1:18" x14ac:dyDescent="0.2">
      <c r="A219" s="238"/>
      <c r="B219" s="238"/>
      <c r="C219" s="238"/>
      <c r="D219" s="238"/>
      <c r="E219" s="238"/>
      <c r="F219" s="238"/>
      <c r="G219" s="238"/>
      <c r="H219" s="238"/>
      <c r="I219" s="238"/>
      <c r="J219" s="238"/>
      <c r="K219" s="238"/>
      <c r="L219" s="238"/>
      <c r="M219" s="238"/>
      <c r="N219" s="238"/>
      <c r="O219" s="238"/>
      <c r="P219" s="238"/>
      <c r="Q219" s="238"/>
      <c r="R219" s="238"/>
    </row>
    <row r="220" spans="1:18" x14ac:dyDescent="0.2">
      <c r="A220" s="238"/>
      <c r="B220" s="238"/>
      <c r="C220" s="238"/>
      <c r="D220" s="238"/>
      <c r="E220" s="238"/>
      <c r="F220" s="238"/>
      <c r="G220" s="238"/>
      <c r="H220" s="238"/>
      <c r="I220" s="238"/>
      <c r="J220" s="238"/>
      <c r="K220" s="238"/>
      <c r="L220" s="238"/>
      <c r="M220" s="238"/>
      <c r="N220" s="238"/>
      <c r="O220" s="238"/>
      <c r="P220" s="238"/>
      <c r="Q220" s="238"/>
      <c r="R220" s="238"/>
    </row>
    <row r="221" spans="1:18" x14ac:dyDescent="0.2">
      <c r="A221" s="238"/>
      <c r="B221" s="238"/>
      <c r="C221" s="238"/>
      <c r="D221" s="238"/>
      <c r="E221" s="238"/>
      <c r="F221" s="238"/>
      <c r="G221" s="238"/>
      <c r="H221" s="238"/>
      <c r="I221" s="238"/>
      <c r="J221" s="238"/>
      <c r="K221" s="238"/>
      <c r="L221" s="238"/>
      <c r="M221" s="238"/>
      <c r="N221" s="238"/>
      <c r="O221" s="238"/>
      <c r="P221" s="238"/>
      <c r="Q221" s="238"/>
      <c r="R221" s="238"/>
    </row>
    <row r="222" spans="1:18" x14ac:dyDescent="0.2">
      <c r="A222" s="238"/>
      <c r="B222" s="238"/>
      <c r="C222" s="238"/>
      <c r="D222" s="238"/>
      <c r="E222" s="238"/>
      <c r="F222" s="238"/>
      <c r="G222" s="238"/>
      <c r="H222" s="238"/>
      <c r="I222" s="238"/>
      <c r="J222" s="238"/>
      <c r="K222" s="238"/>
      <c r="L222" s="238"/>
      <c r="M222" s="238"/>
      <c r="N222" s="238"/>
      <c r="O222" s="238"/>
      <c r="P222" s="238"/>
      <c r="Q222" s="238"/>
      <c r="R222" s="238"/>
    </row>
    <row r="223" spans="1:18" x14ac:dyDescent="0.2">
      <c r="A223" s="238"/>
      <c r="B223" s="238"/>
      <c r="C223" s="238"/>
      <c r="D223" s="238"/>
      <c r="E223" s="238"/>
      <c r="F223" s="238"/>
      <c r="G223" s="238"/>
      <c r="H223" s="238"/>
      <c r="I223" s="238"/>
      <c r="J223" s="238"/>
      <c r="K223" s="238"/>
      <c r="L223" s="238"/>
      <c r="M223" s="238"/>
      <c r="N223" s="238"/>
      <c r="O223" s="238"/>
      <c r="P223" s="238"/>
      <c r="Q223" s="238"/>
      <c r="R223" s="238"/>
    </row>
    <row r="224" spans="1:18" x14ac:dyDescent="0.2">
      <c r="A224" s="238"/>
      <c r="B224" s="238"/>
      <c r="C224" s="238"/>
      <c r="D224" s="238"/>
      <c r="E224" s="238"/>
      <c r="F224" s="238"/>
      <c r="G224" s="238"/>
      <c r="H224" s="238"/>
      <c r="I224" s="238"/>
      <c r="J224" s="238"/>
      <c r="K224" s="238"/>
      <c r="L224" s="238"/>
      <c r="M224" s="238"/>
      <c r="N224" s="238"/>
      <c r="O224" s="238"/>
      <c r="P224" s="238"/>
      <c r="Q224" s="238"/>
      <c r="R224" s="238"/>
    </row>
    <row r="225" spans="1:18" x14ac:dyDescent="0.2">
      <c r="A225" s="238"/>
      <c r="B225" s="238"/>
      <c r="C225" s="238"/>
      <c r="D225" s="238"/>
      <c r="E225" s="238"/>
      <c r="F225" s="238"/>
      <c r="G225" s="238"/>
      <c r="H225" s="238"/>
      <c r="I225" s="238"/>
      <c r="J225" s="238"/>
      <c r="K225" s="238"/>
      <c r="L225" s="238"/>
      <c r="M225" s="238"/>
      <c r="N225" s="238"/>
      <c r="O225" s="238"/>
      <c r="P225" s="238"/>
      <c r="Q225" s="238"/>
      <c r="R225" s="238"/>
    </row>
    <row r="226" spans="1:18" x14ac:dyDescent="0.2">
      <c r="A226" s="238"/>
      <c r="B226" s="238"/>
      <c r="C226" s="238"/>
      <c r="D226" s="238"/>
      <c r="E226" s="238"/>
      <c r="F226" s="238"/>
      <c r="G226" s="238"/>
      <c r="H226" s="238"/>
      <c r="I226" s="238"/>
      <c r="J226" s="238"/>
      <c r="K226" s="238"/>
      <c r="L226" s="238"/>
      <c r="M226" s="238"/>
      <c r="N226" s="238"/>
      <c r="O226" s="238"/>
      <c r="P226" s="238"/>
      <c r="Q226" s="238"/>
      <c r="R226" s="238"/>
    </row>
    <row r="227" spans="1:18" x14ac:dyDescent="0.2">
      <c r="A227" s="238"/>
      <c r="B227" s="238"/>
      <c r="C227" s="238"/>
      <c r="D227" s="238"/>
      <c r="E227" s="238"/>
      <c r="F227" s="238"/>
      <c r="G227" s="238"/>
      <c r="H227" s="238"/>
      <c r="I227" s="238"/>
      <c r="J227" s="238"/>
      <c r="K227" s="238"/>
      <c r="L227" s="238"/>
      <c r="M227" s="238"/>
      <c r="N227" s="238"/>
      <c r="O227" s="238"/>
      <c r="P227" s="238"/>
      <c r="Q227" s="238"/>
      <c r="R227" s="238"/>
    </row>
    <row r="228" spans="1:18" x14ac:dyDescent="0.2">
      <c r="A228" s="238"/>
      <c r="B228" s="238"/>
      <c r="C228" s="238"/>
      <c r="D228" s="238"/>
      <c r="E228" s="238"/>
      <c r="F228" s="238"/>
      <c r="G228" s="238"/>
      <c r="H228" s="238"/>
      <c r="I228" s="238"/>
      <c r="J228" s="238"/>
      <c r="K228" s="238"/>
      <c r="L228" s="238"/>
      <c r="M228" s="238"/>
      <c r="N228" s="238"/>
      <c r="O228" s="238"/>
      <c r="P228" s="238"/>
      <c r="Q228" s="238"/>
      <c r="R228" s="238"/>
    </row>
    <row r="229" spans="1:18" x14ac:dyDescent="0.2">
      <c r="A229" s="238"/>
      <c r="B229" s="238"/>
      <c r="C229" s="238"/>
      <c r="D229" s="238"/>
      <c r="E229" s="238"/>
      <c r="F229" s="238"/>
      <c r="G229" s="238"/>
      <c r="H229" s="238"/>
      <c r="I229" s="238"/>
      <c r="J229" s="238"/>
      <c r="K229" s="238"/>
      <c r="L229" s="238"/>
      <c r="M229" s="238"/>
      <c r="N229" s="238"/>
      <c r="O229" s="238"/>
      <c r="P229" s="238"/>
      <c r="Q229" s="238"/>
      <c r="R229" s="238"/>
    </row>
    <row r="230" spans="1:18" x14ac:dyDescent="0.2">
      <c r="A230" s="238"/>
      <c r="B230" s="238"/>
      <c r="C230" s="238"/>
      <c r="D230" s="238"/>
      <c r="E230" s="238"/>
      <c r="F230" s="238"/>
      <c r="G230" s="238"/>
      <c r="H230" s="238"/>
      <c r="I230" s="238"/>
      <c r="J230" s="238"/>
      <c r="K230" s="238"/>
      <c r="L230" s="238"/>
      <c r="M230" s="238"/>
      <c r="N230" s="238"/>
      <c r="O230" s="238"/>
      <c r="P230" s="238"/>
      <c r="Q230" s="238"/>
      <c r="R230" s="238"/>
    </row>
    <row r="231" spans="1:18" x14ac:dyDescent="0.2">
      <c r="A231" s="238"/>
      <c r="B231" s="238"/>
      <c r="C231" s="238"/>
      <c r="D231" s="238"/>
      <c r="E231" s="238"/>
      <c r="F231" s="238"/>
      <c r="G231" s="238"/>
      <c r="H231" s="238"/>
      <c r="I231" s="238"/>
      <c r="J231" s="238"/>
      <c r="K231" s="238"/>
      <c r="L231" s="238"/>
      <c r="M231" s="238"/>
      <c r="N231" s="238"/>
      <c r="O231" s="238"/>
      <c r="P231" s="238"/>
      <c r="Q231" s="238"/>
      <c r="R231" s="238"/>
    </row>
    <row r="232" spans="1:18" x14ac:dyDescent="0.2">
      <c r="A232" s="238"/>
      <c r="B232" s="238"/>
      <c r="C232" s="238"/>
      <c r="D232" s="238"/>
      <c r="E232" s="238"/>
      <c r="F232" s="238"/>
      <c r="G232" s="238"/>
      <c r="H232" s="238"/>
      <c r="I232" s="238"/>
      <c r="J232" s="238"/>
      <c r="K232" s="238"/>
      <c r="L232" s="238"/>
      <c r="M232" s="238"/>
      <c r="N232" s="238"/>
      <c r="O232" s="238"/>
      <c r="P232" s="238"/>
      <c r="Q232" s="238"/>
      <c r="R232" s="238"/>
    </row>
    <row r="233" spans="1:18" x14ac:dyDescent="0.2">
      <c r="A233" s="238"/>
      <c r="B233" s="238"/>
      <c r="C233" s="238"/>
      <c r="D233" s="238"/>
      <c r="E233" s="238"/>
      <c r="F233" s="238"/>
      <c r="G233" s="238"/>
      <c r="H233" s="238"/>
      <c r="I233" s="238"/>
      <c r="J233" s="238"/>
      <c r="K233" s="238"/>
      <c r="L233" s="238"/>
      <c r="M233" s="238"/>
      <c r="N233" s="238"/>
      <c r="O233" s="238"/>
      <c r="P233" s="238"/>
      <c r="Q233" s="238"/>
      <c r="R233" s="238"/>
    </row>
    <row r="234" spans="1:18" x14ac:dyDescent="0.2">
      <c r="A234" s="238"/>
      <c r="B234" s="238"/>
      <c r="C234" s="238"/>
      <c r="D234" s="238"/>
      <c r="E234" s="238"/>
      <c r="F234" s="238"/>
      <c r="G234" s="238"/>
      <c r="H234" s="238"/>
      <c r="I234" s="238"/>
      <c r="J234" s="238"/>
      <c r="K234" s="238"/>
      <c r="L234" s="238"/>
      <c r="M234" s="238"/>
      <c r="N234" s="238"/>
      <c r="O234" s="238"/>
      <c r="P234" s="238"/>
      <c r="Q234" s="238"/>
      <c r="R234" s="238"/>
    </row>
    <row r="235" spans="1:18" x14ac:dyDescent="0.2">
      <c r="A235" s="238"/>
      <c r="B235" s="238"/>
      <c r="C235" s="238"/>
      <c r="D235" s="238"/>
      <c r="E235" s="238"/>
      <c r="F235" s="238"/>
      <c r="G235" s="238"/>
      <c r="H235" s="238"/>
      <c r="I235" s="238"/>
      <c r="J235" s="238"/>
      <c r="K235" s="238"/>
      <c r="L235" s="238"/>
      <c r="M235" s="238"/>
      <c r="N235" s="238"/>
      <c r="O235" s="238"/>
      <c r="P235" s="238"/>
      <c r="Q235" s="238"/>
      <c r="R235" s="238"/>
    </row>
    <row r="236" spans="1:18" x14ac:dyDescent="0.2">
      <c r="A236" s="238"/>
      <c r="B236" s="238"/>
      <c r="C236" s="238"/>
      <c r="D236" s="238"/>
      <c r="E236" s="238"/>
      <c r="F236" s="238"/>
      <c r="G236" s="238"/>
      <c r="H236" s="238"/>
      <c r="I236" s="238"/>
      <c r="J236" s="238"/>
      <c r="K236" s="238"/>
      <c r="L236" s="238"/>
      <c r="M236" s="238"/>
      <c r="N236" s="238"/>
      <c r="O236" s="238"/>
      <c r="P236" s="238"/>
      <c r="Q236" s="238"/>
      <c r="R236" s="238"/>
    </row>
    <row r="237" spans="1:18" x14ac:dyDescent="0.2">
      <c r="A237" s="238"/>
      <c r="B237" s="238"/>
      <c r="C237" s="238"/>
      <c r="D237" s="238"/>
      <c r="E237" s="238"/>
      <c r="F237" s="238"/>
      <c r="G237" s="238"/>
      <c r="H237" s="238"/>
      <c r="I237" s="238"/>
      <c r="J237" s="238"/>
      <c r="K237" s="238"/>
      <c r="L237" s="238"/>
      <c r="M237" s="238"/>
      <c r="N237" s="238"/>
      <c r="O237" s="238"/>
      <c r="P237" s="238"/>
      <c r="Q237" s="238"/>
      <c r="R237" s="238"/>
    </row>
    <row r="238" spans="1:18" x14ac:dyDescent="0.2">
      <c r="A238" s="238"/>
      <c r="B238" s="238"/>
      <c r="C238" s="238"/>
      <c r="D238" s="238"/>
      <c r="E238" s="238"/>
      <c r="F238" s="238"/>
      <c r="G238" s="238"/>
      <c r="H238" s="238"/>
      <c r="I238" s="238"/>
      <c r="J238" s="238"/>
      <c r="K238" s="238"/>
      <c r="L238" s="238"/>
      <c r="M238" s="238"/>
      <c r="N238" s="238"/>
      <c r="O238" s="238"/>
      <c r="P238" s="238"/>
      <c r="Q238" s="238"/>
      <c r="R238" s="238"/>
    </row>
    <row r="239" spans="1:18" x14ac:dyDescent="0.2">
      <c r="A239" s="238"/>
      <c r="B239" s="238"/>
      <c r="C239" s="238"/>
      <c r="D239" s="238"/>
      <c r="E239" s="238"/>
      <c r="F239" s="238"/>
      <c r="G239" s="238"/>
      <c r="H239" s="238"/>
      <c r="I239" s="238"/>
      <c r="J239" s="238"/>
      <c r="K239" s="238"/>
      <c r="L239" s="238"/>
      <c r="M239" s="238"/>
      <c r="N239" s="238"/>
      <c r="O239" s="238"/>
      <c r="P239" s="238"/>
      <c r="Q239" s="238"/>
      <c r="R239" s="238"/>
    </row>
    <row r="240" spans="1:18" x14ac:dyDescent="0.2">
      <c r="A240" s="238"/>
      <c r="B240" s="238"/>
      <c r="C240" s="238"/>
      <c r="D240" s="238"/>
      <c r="E240" s="238"/>
      <c r="F240" s="238"/>
      <c r="G240" s="238"/>
      <c r="H240" s="238"/>
      <c r="I240" s="238"/>
      <c r="J240" s="238"/>
      <c r="K240" s="238"/>
      <c r="L240" s="238"/>
      <c r="M240" s="238"/>
      <c r="N240" s="238"/>
      <c r="O240" s="238"/>
      <c r="P240" s="238"/>
      <c r="Q240" s="238"/>
      <c r="R240" s="238"/>
    </row>
    <row r="241" spans="1:18" x14ac:dyDescent="0.2">
      <c r="A241" s="238"/>
      <c r="B241" s="238"/>
      <c r="C241" s="238"/>
      <c r="D241" s="238"/>
      <c r="E241" s="238"/>
      <c r="F241" s="238"/>
      <c r="G241" s="238"/>
      <c r="H241" s="238"/>
      <c r="I241" s="238"/>
      <c r="J241" s="238"/>
      <c r="K241" s="238"/>
      <c r="L241" s="238"/>
      <c r="M241" s="238"/>
      <c r="N241" s="238"/>
      <c r="O241" s="238"/>
      <c r="P241" s="238"/>
      <c r="Q241" s="238"/>
      <c r="R241" s="238"/>
    </row>
    <row r="242" spans="1:18" x14ac:dyDescent="0.2">
      <c r="A242" s="238"/>
      <c r="B242" s="238"/>
      <c r="C242" s="238"/>
      <c r="D242" s="238"/>
      <c r="E242" s="238"/>
      <c r="F242" s="238"/>
      <c r="G242" s="238"/>
      <c r="H242" s="238"/>
      <c r="I242" s="238"/>
      <c r="J242" s="238"/>
      <c r="K242" s="238"/>
      <c r="L242" s="238"/>
      <c r="M242" s="238"/>
      <c r="N242" s="238"/>
      <c r="O242" s="238"/>
      <c r="P242" s="238"/>
      <c r="Q242" s="238"/>
      <c r="R242" s="238"/>
    </row>
    <row r="243" spans="1:18" x14ac:dyDescent="0.2">
      <c r="A243" s="238"/>
      <c r="B243" s="238"/>
      <c r="C243" s="238"/>
      <c r="D243" s="238"/>
      <c r="E243" s="238"/>
      <c r="F243" s="238"/>
      <c r="G243" s="238"/>
      <c r="H243" s="238"/>
      <c r="I243" s="238"/>
      <c r="J243" s="238"/>
      <c r="K243" s="238"/>
      <c r="L243" s="238"/>
      <c r="M243" s="238"/>
      <c r="N243" s="238"/>
      <c r="O243" s="238"/>
      <c r="P243" s="238"/>
      <c r="Q243" s="238"/>
      <c r="R243" s="238"/>
    </row>
    <row r="244" spans="1:18" x14ac:dyDescent="0.2">
      <c r="A244" s="238"/>
      <c r="B244" s="238"/>
      <c r="C244" s="238"/>
      <c r="D244" s="238"/>
      <c r="E244" s="238"/>
      <c r="F244" s="238"/>
      <c r="G244" s="238"/>
      <c r="H244" s="238"/>
      <c r="I244" s="238"/>
      <c r="J244" s="238"/>
      <c r="K244" s="238"/>
      <c r="L244" s="238"/>
      <c r="M244" s="238"/>
      <c r="N244" s="238"/>
      <c r="O244" s="238"/>
      <c r="P244" s="238"/>
      <c r="Q244" s="238"/>
      <c r="R244" s="238"/>
    </row>
    <row r="245" spans="1:18" x14ac:dyDescent="0.2">
      <c r="A245" s="238"/>
      <c r="B245" s="238"/>
      <c r="C245" s="238"/>
      <c r="D245" s="238"/>
      <c r="E245" s="238"/>
      <c r="F245" s="238"/>
      <c r="G245" s="238"/>
      <c r="H245" s="238"/>
      <c r="I245" s="238"/>
      <c r="J245" s="238"/>
      <c r="K245" s="238"/>
      <c r="L245" s="238"/>
      <c r="M245" s="238"/>
      <c r="N245" s="238"/>
      <c r="O245" s="238"/>
      <c r="P245" s="238"/>
      <c r="Q245" s="238"/>
      <c r="R245" s="238"/>
    </row>
    <row r="246" spans="1:18" x14ac:dyDescent="0.2">
      <c r="A246" s="238"/>
      <c r="B246" s="238"/>
      <c r="C246" s="238"/>
      <c r="D246" s="238"/>
      <c r="E246" s="238"/>
      <c r="F246" s="238"/>
      <c r="G246" s="238"/>
      <c r="H246" s="238"/>
      <c r="I246" s="238"/>
      <c r="J246" s="238"/>
      <c r="K246" s="238"/>
      <c r="L246" s="238"/>
      <c r="M246" s="238"/>
      <c r="N246" s="238"/>
      <c r="O246" s="238"/>
      <c r="P246" s="238"/>
      <c r="Q246" s="238"/>
      <c r="R246" s="238"/>
    </row>
    <row r="247" spans="1:18" x14ac:dyDescent="0.2">
      <c r="A247" s="238"/>
      <c r="B247" s="238"/>
      <c r="C247" s="238"/>
      <c r="D247" s="238"/>
      <c r="E247" s="238"/>
      <c r="F247" s="238"/>
      <c r="G247" s="238"/>
      <c r="H247" s="238"/>
      <c r="I247" s="238"/>
      <c r="J247" s="238"/>
      <c r="K247" s="238"/>
      <c r="L247" s="238"/>
      <c r="M247" s="238"/>
      <c r="N247" s="238"/>
      <c r="O247" s="238"/>
      <c r="P247" s="238"/>
      <c r="Q247" s="238"/>
      <c r="R247" s="238"/>
    </row>
    <row r="248" spans="1:18" x14ac:dyDescent="0.2">
      <c r="A248" s="238"/>
      <c r="B248" s="238"/>
      <c r="C248" s="238"/>
      <c r="D248" s="238"/>
      <c r="E248" s="238"/>
      <c r="F248" s="238"/>
      <c r="G248" s="238"/>
      <c r="H248" s="238"/>
      <c r="I248" s="238"/>
      <c r="J248" s="238"/>
      <c r="K248" s="238"/>
      <c r="L248" s="238"/>
      <c r="M248" s="238"/>
      <c r="N248" s="238"/>
      <c r="O248" s="238"/>
      <c r="P248" s="238"/>
      <c r="Q248" s="238"/>
      <c r="R248" s="238"/>
    </row>
    <row r="249" spans="1:18" x14ac:dyDescent="0.2">
      <c r="A249" s="238"/>
      <c r="B249" s="238"/>
      <c r="C249" s="238"/>
      <c r="D249" s="238"/>
      <c r="E249" s="238"/>
      <c r="F249" s="238"/>
      <c r="G249" s="238"/>
      <c r="H249" s="238"/>
      <c r="I249" s="238"/>
      <c r="J249" s="238"/>
      <c r="K249" s="238"/>
      <c r="L249" s="238"/>
      <c r="M249" s="238"/>
      <c r="N249" s="238"/>
      <c r="O249" s="238"/>
      <c r="P249" s="238"/>
      <c r="Q249" s="238"/>
      <c r="R249" s="238"/>
    </row>
    <row r="250" spans="1:18" x14ac:dyDescent="0.2">
      <c r="A250" s="238"/>
      <c r="B250" s="238"/>
      <c r="C250" s="238"/>
      <c r="D250" s="238"/>
      <c r="E250" s="238"/>
      <c r="F250" s="238"/>
      <c r="G250" s="238"/>
      <c r="H250" s="238"/>
      <c r="I250" s="238"/>
      <c r="J250" s="238"/>
      <c r="K250" s="238"/>
      <c r="L250" s="238"/>
      <c r="M250" s="238"/>
      <c r="N250" s="238"/>
      <c r="O250" s="238"/>
      <c r="P250" s="238"/>
      <c r="Q250" s="238"/>
      <c r="R250" s="238"/>
    </row>
    <row r="251" spans="1:18" x14ac:dyDescent="0.2">
      <c r="A251" s="238"/>
      <c r="B251" s="238"/>
      <c r="C251" s="238"/>
      <c r="D251" s="238"/>
      <c r="E251" s="238"/>
      <c r="F251" s="238"/>
      <c r="G251" s="238"/>
      <c r="H251" s="238"/>
      <c r="I251" s="238"/>
      <c r="J251" s="238"/>
      <c r="K251" s="238"/>
      <c r="L251" s="238"/>
      <c r="M251" s="238"/>
      <c r="N251" s="238"/>
      <c r="O251" s="238"/>
      <c r="P251" s="238"/>
      <c r="Q251" s="238"/>
      <c r="R251" s="238"/>
    </row>
    <row r="252" spans="1:18" x14ac:dyDescent="0.2">
      <c r="A252" s="238"/>
      <c r="B252" s="238"/>
      <c r="C252" s="238"/>
      <c r="D252" s="238"/>
      <c r="E252" s="238"/>
      <c r="F252" s="238"/>
      <c r="G252" s="238"/>
      <c r="H252" s="238"/>
      <c r="I252" s="238"/>
      <c r="J252" s="238"/>
      <c r="K252" s="238"/>
      <c r="L252" s="238"/>
      <c r="M252" s="238"/>
      <c r="N252" s="238"/>
      <c r="O252" s="238"/>
      <c r="P252" s="238"/>
      <c r="Q252" s="238"/>
      <c r="R252" s="238"/>
    </row>
    <row r="253" spans="1:18" x14ac:dyDescent="0.2">
      <c r="A253" s="238"/>
      <c r="B253" s="238"/>
      <c r="C253" s="238"/>
      <c r="D253" s="238"/>
      <c r="E253" s="238"/>
      <c r="F253" s="238"/>
      <c r="G253" s="238"/>
      <c r="H253" s="238"/>
      <c r="I253" s="238"/>
      <c r="J253" s="238"/>
      <c r="K253" s="238"/>
      <c r="L253" s="238"/>
      <c r="M253" s="238"/>
      <c r="N253" s="238"/>
      <c r="O253" s="238"/>
      <c r="P253" s="238"/>
      <c r="Q253" s="238"/>
      <c r="R253" s="238"/>
    </row>
    <row r="254" spans="1:18" x14ac:dyDescent="0.2">
      <c r="A254" s="238"/>
      <c r="B254" s="238"/>
      <c r="C254" s="238"/>
      <c r="D254" s="238"/>
      <c r="E254" s="238"/>
      <c r="F254" s="238"/>
      <c r="G254" s="238"/>
      <c r="H254" s="238"/>
      <c r="I254" s="238"/>
      <c r="J254" s="238"/>
      <c r="K254" s="238"/>
      <c r="L254" s="238"/>
      <c r="M254" s="238"/>
      <c r="N254" s="238"/>
      <c r="O254" s="238"/>
      <c r="P254" s="238"/>
      <c r="Q254" s="238"/>
      <c r="R254" s="238"/>
    </row>
    <row r="255" spans="1:18" x14ac:dyDescent="0.2">
      <c r="A255" s="238"/>
      <c r="B255" s="238"/>
      <c r="C255" s="238"/>
      <c r="D255" s="238"/>
      <c r="E255" s="238"/>
      <c r="F255" s="238"/>
      <c r="G255" s="238"/>
      <c r="H255" s="238"/>
      <c r="I255" s="238"/>
      <c r="J255" s="238"/>
      <c r="K255" s="238"/>
      <c r="L255" s="238"/>
      <c r="M255" s="238"/>
      <c r="N255" s="238"/>
      <c r="O255" s="238"/>
      <c r="P255" s="238"/>
      <c r="Q255" s="238"/>
      <c r="R255" s="238"/>
    </row>
    <row r="256" spans="1:18" x14ac:dyDescent="0.2">
      <c r="A256" s="238"/>
      <c r="B256" s="238"/>
      <c r="C256" s="238"/>
      <c r="D256" s="238"/>
      <c r="E256" s="238"/>
      <c r="F256" s="238"/>
      <c r="G256" s="238"/>
      <c r="H256" s="238"/>
      <c r="I256" s="238"/>
      <c r="J256" s="238"/>
      <c r="K256" s="238"/>
      <c r="L256" s="238"/>
      <c r="M256" s="238"/>
      <c r="N256" s="238"/>
      <c r="O256" s="238"/>
      <c r="P256" s="238"/>
      <c r="Q256" s="238"/>
      <c r="R256" s="238"/>
    </row>
    <row r="257" spans="1:18" x14ac:dyDescent="0.2">
      <c r="A257" s="238"/>
      <c r="B257" s="238"/>
      <c r="C257" s="238"/>
      <c r="D257" s="238"/>
      <c r="E257" s="238"/>
      <c r="F257" s="238"/>
      <c r="G257" s="238"/>
      <c r="H257" s="238"/>
      <c r="I257" s="238"/>
      <c r="J257" s="238"/>
      <c r="K257" s="238"/>
      <c r="L257" s="238"/>
      <c r="M257" s="238"/>
      <c r="N257" s="238"/>
      <c r="O257" s="238"/>
      <c r="P257" s="238"/>
      <c r="Q257" s="238"/>
      <c r="R257" s="238"/>
    </row>
    <row r="258" spans="1:18" x14ac:dyDescent="0.2">
      <c r="A258" s="238"/>
      <c r="B258" s="238"/>
      <c r="C258" s="238"/>
      <c r="D258" s="238"/>
      <c r="E258" s="238"/>
      <c r="F258" s="238"/>
      <c r="G258" s="238"/>
      <c r="H258" s="238"/>
      <c r="I258" s="238"/>
      <c r="J258" s="238"/>
      <c r="K258" s="238"/>
      <c r="L258" s="238"/>
      <c r="M258" s="238"/>
      <c r="N258" s="238"/>
      <c r="O258" s="238"/>
      <c r="P258" s="238"/>
      <c r="Q258" s="238"/>
      <c r="R258" s="238"/>
    </row>
    <row r="259" spans="1:18" x14ac:dyDescent="0.2">
      <c r="A259" s="238"/>
      <c r="B259" s="238"/>
      <c r="C259" s="238"/>
      <c r="D259" s="238"/>
      <c r="E259" s="238"/>
      <c r="F259" s="238"/>
      <c r="G259" s="238"/>
      <c r="H259" s="238"/>
      <c r="I259" s="238"/>
      <c r="J259" s="238"/>
      <c r="K259" s="238"/>
      <c r="L259" s="238"/>
      <c r="M259" s="238"/>
      <c r="N259" s="238"/>
      <c r="O259" s="238"/>
      <c r="P259" s="238"/>
      <c r="Q259" s="238"/>
      <c r="R259" s="238"/>
    </row>
    <row r="260" spans="1:18" x14ac:dyDescent="0.2">
      <c r="A260" s="238"/>
      <c r="B260" s="238"/>
      <c r="C260" s="238"/>
      <c r="D260" s="238"/>
      <c r="E260" s="238"/>
      <c r="F260" s="238"/>
      <c r="G260" s="238"/>
      <c r="H260" s="238"/>
      <c r="I260" s="238"/>
      <c r="J260" s="238"/>
      <c r="K260" s="238"/>
      <c r="L260" s="238"/>
      <c r="M260" s="238"/>
      <c r="N260" s="238"/>
      <c r="O260" s="238"/>
      <c r="P260" s="238"/>
      <c r="Q260" s="238"/>
      <c r="R260" s="238"/>
    </row>
    <row r="261" spans="1:18" x14ac:dyDescent="0.2">
      <c r="A261" s="238"/>
      <c r="B261" s="238"/>
      <c r="C261" s="238"/>
      <c r="D261" s="238"/>
      <c r="E261" s="238"/>
      <c r="F261" s="238"/>
      <c r="G261" s="238"/>
      <c r="H261" s="238"/>
      <c r="I261" s="238"/>
      <c r="J261" s="238"/>
      <c r="K261" s="238"/>
      <c r="L261" s="238"/>
      <c r="M261" s="238"/>
      <c r="N261" s="238"/>
      <c r="O261" s="238"/>
      <c r="P261" s="238"/>
      <c r="Q261" s="238"/>
      <c r="R261" s="238"/>
    </row>
    <row r="262" spans="1:18" x14ac:dyDescent="0.2">
      <c r="A262" s="238"/>
      <c r="B262" s="238"/>
      <c r="C262" s="238"/>
      <c r="D262" s="238"/>
      <c r="E262" s="238"/>
      <c r="F262" s="238"/>
      <c r="G262" s="238"/>
      <c r="H262" s="238"/>
      <c r="I262" s="238"/>
      <c r="J262" s="238"/>
      <c r="K262" s="238"/>
      <c r="L262" s="238"/>
      <c r="M262" s="238"/>
      <c r="N262" s="238"/>
      <c r="O262" s="238"/>
      <c r="P262" s="238"/>
      <c r="Q262" s="238"/>
      <c r="R262" s="238"/>
    </row>
    <row r="263" spans="1:18" x14ac:dyDescent="0.2">
      <c r="A263" s="238"/>
      <c r="B263" s="238"/>
      <c r="C263" s="238"/>
      <c r="D263" s="238"/>
      <c r="E263" s="238"/>
      <c r="F263" s="238"/>
      <c r="G263" s="238"/>
      <c r="H263" s="238"/>
      <c r="I263" s="238"/>
      <c r="J263" s="238"/>
      <c r="K263" s="238"/>
      <c r="L263" s="238"/>
      <c r="M263" s="238"/>
      <c r="N263" s="238"/>
      <c r="O263" s="238"/>
      <c r="P263" s="238"/>
      <c r="Q263" s="238"/>
      <c r="R263" s="238"/>
    </row>
    <row r="264" spans="1:18" x14ac:dyDescent="0.2">
      <c r="A264" s="238"/>
      <c r="B264" s="238"/>
      <c r="C264" s="238"/>
      <c r="D264" s="238"/>
      <c r="E264" s="238"/>
      <c r="F264" s="238"/>
      <c r="G264" s="238"/>
      <c r="H264" s="238"/>
      <c r="I264" s="238"/>
      <c r="J264" s="238"/>
      <c r="K264" s="238"/>
      <c r="L264" s="238"/>
      <c r="M264" s="238"/>
      <c r="N264" s="238"/>
      <c r="O264" s="238"/>
      <c r="P264" s="238"/>
      <c r="Q264" s="238"/>
      <c r="R264" s="238"/>
    </row>
    <row r="265" spans="1:18" x14ac:dyDescent="0.2">
      <c r="A265" s="238"/>
      <c r="B265" s="238"/>
      <c r="C265" s="238"/>
      <c r="D265" s="238"/>
      <c r="E265" s="238"/>
      <c r="F265" s="238"/>
      <c r="G265" s="238"/>
      <c r="H265" s="238"/>
      <c r="I265" s="238"/>
      <c r="J265" s="238"/>
      <c r="K265" s="238"/>
      <c r="L265" s="238"/>
      <c r="M265" s="238"/>
      <c r="N265" s="238"/>
      <c r="O265" s="238"/>
      <c r="P265" s="238"/>
      <c r="Q265" s="238"/>
      <c r="R265" s="238"/>
    </row>
    <row r="266" spans="1:18" x14ac:dyDescent="0.2">
      <c r="A266" s="238"/>
      <c r="B266" s="238"/>
      <c r="C266" s="238"/>
      <c r="D266" s="238"/>
      <c r="E266" s="238"/>
      <c r="F266" s="238"/>
      <c r="G266" s="238"/>
      <c r="H266" s="238"/>
      <c r="I266" s="238"/>
      <c r="J266" s="238"/>
      <c r="K266" s="238"/>
      <c r="L266" s="238"/>
      <c r="M266" s="238"/>
      <c r="N266" s="238"/>
      <c r="O266" s="238"/>
      <c r="P266" s="238"/>
      <c r="Q266" s="238"/>
      <c r="R266" s="238"/>
    </row>
    <row r="267" spans="1:18" x14ac:dyDescent="0.2">
      <c r="A267" s="238"/>
      <c r="B267" s="238"/>
      <c r="C267" s="238"/>
      <c r="D267" s="238"/>
      <c r="E267" s="238"/>
      <c r="F267" s="238"/>
      <c r="G267" s="238"/>
      <c r="H267" s="238"/>
      <c r="I267" s="238"/>
      <c r="J267" s="238"/>
      <c r="K267" s="238"/>
      <c r="L267" s="238"/>
      <c r="M267" s="238"/>
      <c r="N267" s="238"/>
      <c r="O267" s="238"/>
      <c r="P267" s="238"/>
      <c r="Q267" s="238"/>
      <c r="R267" s="238"/>
    </row>
    <row r="268" spans="1:18" x14ac:dyDescent="0.2">
      <c r="A268" s="238"/>
      <c r="B268" s="238"/>
      <c r="C268" s="238"/>
      <c r="D268" s="238"/>
      <c r="E268" s="238"/>
      <c r="F268" s="238"/>
      <c r="G268" s="238"/>
      <c r="H268" s="238"/>
      <c r="I268" s="238"/>
      <c r="J268" s="238"/>
      <c r="K268" s="238"/>
      <c r="L268" s="238"/>
      <c r="M268" s="238"/>
      <c r="N268" s="238"/>
      <c r="O268" s="238"/>
      <c r="P268" s="238"/>
      <c r="Q268" s="238"/>
      <c r="R268" s="238"/>
    </row>
    <row r="269" spans="1:18" x14ac:dyDescent="0.2">
      <c r="A269" s="238"/>
      <c r="B269" s="238"/>
      <c r="C269" s="238"/>
      <c r="D269" s="238"/>
      <c r="E269" s="238"/>
      <c r="F269" s="238"/>
      <c r="G269" s="238"/>
      <c r="H269" s="238"/>
      <c r="I269" s="238"/>
      <c r="J269" s="238"/>
      <c r="K269" s="238"/>
      <c r="L269" s="238"/>
      <c r="M269" s="238"/>
      <c r="N269" s="238"/>
      <c r="O269" s="238"/>
      <c r="P269" s="238"/>
      <c r="Q269" s="238"/>
      <c r="R269" s="238"/>
    </row>
    <row r="270" spans="1:18" x14ac:dyDescent="0.2">
      <c r="A270" s="238"/>
      <c r="B270" s="238"/>
      <c r="C270" s="238"/>
      <c r="D270" s="238"/>
      <c r="E270" s="238"/>
      <c r="F270" s="238"/>
      <c r="G270" s="238"/>
      <c r="H270" s="238"/>
      <c r="I270" s="238"/>
      <c r="J270" s="238"/>
      <c r="K270" s="238"/>
      <c r="L270" s="238"/>
      <c r="M270" s="238"/>
      <c r="N270" s="238"/>
      <c r="O270" s="238"/>
      <c r="P270" s="238"/>
      <c r="Q270" s="238"/>
      <c r="R270" s="238"/>
    </row>
    <row r="271" spans="1:18" x14ac:dyDescent="0.2">
      <c r="A271" s="238"/>
      <c r="B271" s="238"/>
      <c r="C271" s="238"/>
      <c r="D271" s="238"/>
      <c r="E271" s="238"/>
      <c r="F271" s="238"/>
      <c r="G271" s="238"/>
      <c r="H271" s="238"/>
      <c r="I271" s="238"/>
      <c r="J271" s="238"/>
      <c r="K271" s="238"/>
      <c r="L271" s="238"/>
      <c r="M271" s="238"/>
      <c r="N271" s="238"/>
      <c r="O271" s="238"/>
      <c r="P271" s="238"/>
      <c r="Q271" s="238"/>
      <c r="R271" s="238"/>
    </row>
    <row r="272" spans="1:18" x14ac:dyDescent="0.2">
      <c r="A272" s="238"/>
      <c r="B272" s="238"/>
      <c r="C272" s="238"/>
      <c r="D272" s="238"/>
      <c r="E272" s="238"/>
      <c r="F272" s="238"/>
      <c r="G272" s="238"/>
      <c r="H272" s="238"/>
      <c r="I272" s="238"/>
      <c r="J272" s="238"/>
      <c r="K272" s="238"/>
      <c r="L272" s="238"/>
      <c r="M272" s="238"/>
      <c r="N272" s="238"/>
      <c r="O272" s="238"/>
      <c r="P272" s="238"/>
      <c r="Q272" s="238"/>
      <c r="R272" s="238"/>
    </row>
    <row r="273" spans="1:18" x14ac:dyDescent="0.2">
      <c r="A273" s="238"/>
      <c r="B273" s="238"/>
      <c r="C273" s="238"/>
      <c r="D273" s="238"/>
      <c r="E273" s="238"/>
      <c r="F273" s="238"/>
      <c r="G273" s="238"/>
      <c r="H273" s="238"/>
      <c r="I273" s="238"/>
      <c r="J273" s="238"/>
      <c r="K273" s="238"/>
      <c r="L273" s="238"/>
      <c r="M273" s="238"/>
      <c r="N273" s="238"/>
      <c r="O273" s="238"/>
      <c r="P273" s="238"/>
      <c r="Q273" s="238"/>
      <c r="R273" s="238"/>
    </row>
    <row r="274" spans="1:18" x14ac:dyDescent="0.2">
      <c r="A274" s="238"/>
      <c r="B274" s="238"/>
      <c r="C274" s="238"/>
      <c r="D274" s="238"/>
      <c r="E274" s="238"/>
      <c r="F274" s="238"/>
      <c r="G274" s="238"/>
      <c r="H274" s="238"/>
      <c r="I274" s="238"/>
      <c r="J274" s="238"/>
      <c r="K274" s="238"/>
      <c r="L274" s="238"/>
      <c r="M274" s="238"/>
      <c r="N274" s="238"/>
      <c r="O274" s="238"/>
      <c r="P274" s="238"/>
      <c r="Q274" s="238"/>
      <c r="R274" s="238"/>
    </row>
    <row r="275" spans="1:18" x14ac:dyDescent="0.2">
      <c r="A275" s="238"/>
      <c r="B275" s="238"/>
      <c r="C275" s="238"/>
      <c r="D275" s="238"/>
      <c r="E275" s="238"/>
      <c r="F275" s="238"/>
      <c r="G275" s="238"/>
      <c r="H275" s="238"/>
      <c r="I275" s="238"/>
      <c r="J275" s="238"/>
      <c r="K275" s="238"/>
      <c r="L275" s="238"/>
      <c r="M275" s="238"/>
      <c r="N275" s="238"/>
      <c r="O275" s="238"/>
      <c r="P275" s="238"/>
      <c r="Q275" s="238"/>
      <c r="R275" s="238"/>
    </row>
    <row r="276" spans="1:18" x14ac:dyDescent="0.2">
      <c r="A276" s="238"/>
      <c r="B276" s="238"/>
      <c r="C276" s="238"/>
      <c r="D276" s="238"/>
      <c r="E276" s="238"/>
      <c r="F276" s="238"/>
      <c r="G276" s="238"/>
      <c r="H276" s="238"/>
      <c r="I276" s="238"/>
      <c r="J276" s="238"/>
      <c r="K276" s="238"/>
      <c r="L276" s="238"/>
      <c r="M276" s="238"/>
      <c r="N276" s="238"/>
      <c r="O276" s="238"/>
      <c r="P276" s="238"/>
      <c r="Q276" s="238"/>
      <c r="R276" s="238"/>
    </row>
    <row r="277" spans="1:18" x14ac:dyDescent="0.2">
      <c r="A277" s="238"/>
      <c r="B277" s="238"/>
      <c r="C277" s="238"/>
      <c r="D277" s="238"/>
      <c r="E277" s="238"/>
      <c r="F277" s="238"/>
      <c r="G277" s="238"/>
      <c r="H277" s="238"/>
      <c r="I277" s="238"/>
      <c r="J277" s="238"/>
      <c r="K277" s="238"/>
      <c r="L277" s="238"/>
      <c r="M277" s="238"/>
      <c r="N277" s="238"/>
      <c r="O277" s="238"/>
      <c r="P277" s="238"/>
      <c r="Q277" s="238"/>
      <c r="R277" s="238"/>
    </row>
    <row r="278" spans="1:18" x14ac:dyDescent="0.2">
      <c r="A278" s="238"/>
      <c r="B278" s="238"/>
      <c r="C278" s="238"/>
      <c r="D278" s="238"/>
      <c r="E278" s="238"/>
      <c r="F278" s="238"/>
      <c r="G278" s="238"/>
      <c r="H278" s="238"/>
      <c r="I278" s="238"/>
      <c r="J278" s="238"/>
      <c r="K278" s="238"/>
      <c r="L278" s="238"/>
      <c r="M278" s="238"/>
      <c r="N278" s="238"/>
      <c r="O278" s="238"/>
      <c r="P278" s="238"/>
      <c r="Q278" s="238"/>
      <c r="R278" s="238"/>
    </row>
    <row r="279" spans="1:18" x14ac:dyDescent="0.2">
      <c r="A279" s="238"/>
      <c r="B279" s="238"/>
      <c r="C279" s="238"/>
      <c r="D279" s="238"/>
      <c r="E279" s="238"/>
      <c r="F279" s="238"/>
      <c r="G279" s="238"/>
      <c r="H279" s="238"/>
      <c r="I279" s="238"/>
      <c r="J279" s="238"/>
      <c r="K279" s="238"/>
      <c r="L279" s="238"/>
      <c r="M279" s="238"/>
      <c r="N279" s="238"/>
      <c r="O279" s="238"/>
      <c r="P279" s="238"/>
      <c r="Q279" s="238"/>
      <c r="R279" s="238"/>
    </row>
    <row r="280" spans="1:18" x14ac:dyDescent="0.2">
      <c r="A280" s="238"/>
      <c r="B280" s="238"/>
      <c r="C280" s="238"/>
      <c r="D280" s="238"/>
      <c r="E280" s="238"/>
      <c r="F280" s="238"/>
      <c r="G280" s="238"/>
      <c r="H280" s="238"/>
      <c r="I280" s="238"/>
      <c r="J280" s="238"/>
      <c r="K280" s="238"/>
      <c r="L280" s="238"/>
      <c r="M280" s="238"/>
      <c r="N280" s="238"/>
      <c r="O280" s="238"/>
      <c r="P280" s="238"/>
      <c r="Q280" s="238"/>
      <c r="R280" s="238"/>
    </row>
    <row r="281" spans="1:18" x14ac:dyDescent="0.2">
      <c r="A281" s="238"/>
      <c r="B281" s="238"/>
      <c r="C281" s="238"/>
      <c r="D281" s="238"/>
      <c r="E281" s="238"/>
      <c r="F281" s="238"/>
      <c r="G281" s="238"/>
      <c r="H281" s="238"/>
      <c r="I281" s="238"/>
      <c r="J281" s="238"/>
      <c r="K281" s="238"/>
      <c r="L281" s="238"/>
      <c r="M281" s="238"/>
      <c r="N281" s="238"/>
      <c r="O281" s="238"/>
      <c r="P281" s="238"/>
      <c r="Q281" s="238"/>
      <c r="R281" s="238"/>
    </row>
    <row r="282" spans="1:18" x14ac:dyDescent="0.2">
      <c r="A282" s="238"/>
      <c r="B282" s="238"/>
      <c r="C282" s="238"/>
      <c r="D282" s="238"/>
      <c r="E282" s="238"/>
      <c r="F282" s="238"/>
      <c r="G282" s="238"/>
      <c r="H282" s="238"/>
      <c r="I282" s="238"/>
      <c r="J282" s="238"/>
      <c r="K282" s="238"/>
      <c r="L282" s="238"/>
      <c r="M282" s="238"/>
      <c r="N282" s="238"/>
      <c r="O282" s="238"/>
      <c r="P282" s="238"/>
      <c r="Q282" s="238"/>
      <c r="R282" s="238"/>
    </row>
    <row r="283" spans="1:18" x14ac:dyDescent="0.2">
      <c r="A283" s="238"/>
      <c r="B283" s="238"/>
      <c r="C283" s="238"/>
      <c r="D283" s="238"/>
      <c r="E283" s="238"/>
      <c r="F283" s="238"/>
      <c r="G283" s="238"/>
      <c r="H283" s="238"/>
      <c r="I283" s="238"/>
      <c r="J283" s="238"/>
      <c r="K283" s="238"/>
      <c r="L283" s="238"/>
      <c r="M283" s="238"/>
      <c r="N283" s="238"/>
      <c r="O283" s="238"/>
      <c r="P283" s="238"/>
      <c r="Q283" s="238"/>
      <c r="R283" s="238"/>
    </row>
    <row r="284" spans="1:18" x14ac:dyDescent="0.2">
      <c r="A284" s="238"/>
      <c r="B284" s="238"/>
      <c r="C284" s="238"/>
      <c r="D284" s="238"/>
      <c r="E284" s="238"/>
      <c r="F284" s="238"/>
      <c r="G284" s="238"/>
      <c r="H284" s="238"/>
      <c r="I284" s="238"/>
      <c r="J284" s="238"/>
      <c r="K284" s="238"/>
      <c r="L284" s="238"/>
      <c r="M284" s="238"/>
      <c r="N284" s="238"/>
      <c r="O284" s="238"/>
      <c r="P284" s="238"/>
      <c r="Q284" s="238"/>
      <c r="R284" s="238"/>
    </row>
    <row r="285" spans="1:18" x14ac:dyDescent="0.2">
      <c r="A285" s="238"/>
      <c r="B285" s="238"/>
      <c r="C285" s="238"/>
      <c r="D285" s="238"/>
      <c r="E285" s="238"/>
      <c r="F285" s="238"/>
      <c r="G285" s="238"/>
      <c r="H285" s="238"/>
      <c r="I285" s="238"/>
      <c r="J285" s="238"/>
      <c r="K285" s="238"/>
      <c r="L285" s="238"/>
      <c r="M285" s="238"/>
      <c r="N285" s="238"/>
      <c r="O285" s="238"/>
      <c r="P285" s="238"/>
      <c r="Q285" s="238"/>
      <c r="R285" s="238"/>
    </row>
    <row r="286" spans="1:18" x14ac:dyDescent="0.2">
      <c r="A286" s="238"/>
      <c r="B286" s="238"/>
      <c r="C286" s="238"/>
      <c r="D286" s="238"/>
      <c r="E286" s="238"/>
      <c r="F286" s="238"/>
      <c r="G286" s="238"/>
      <c r="H286" s="238"/>
      <c r="I286" s="238"/>
      <c r="J286" s="238"/>
      <c r="K286" s="238"/>
      <c r="L286" s="238"/>
      <c r="M286" s="238"/>
      <c r="N286" s="238"/>
      <c r="O286" s="238"/>
      <c r="P286" s="238"/>
      <c r="Q286" s="238"/>
      <c r="R286" s="238"/>
    </row>
    <row r="287" spans="1:18" x14ac:dyDescent="0.2">
      <c r="A287" s="238"/>
      <c r="B287" s="238"/>
      <c r="C287" s="238"/>
      <c r="D287" s="238"/>
      <c r="E287" s="238"/>
      <c r="F287" s="238"/>
      <c r="G287" s="238"/>
      <c r="H287" s="238"/>
      <c r="I287" s="238"/>
      <c r="J287" s="238"/>
      <c r="K287" s="238"/>
      <c r="L287" s="238"/>
      <c r="M287" s="238"/>
      <c r="N287" s="238"/>
      <c r="O287" s="238"/>
      <c r="P287" s="238"/>
      <c r="Q287" s="238"/>
      <c r="R287" s="238"/>
    </row>
    <row r="288" spans="1:18" x14ac:dyDescent="0.2">
      <c r="A288" s="238"/>
      <c r="B288" s="238"/>
      <c r="C288" s="238"/>
      <c r="D288" s="238"/>
      <c r="E288" s="238"/>
      <c r="F288" s="238"/>
      <c r="G288" s="238"/>
      <c r="H288" s="238"/>
      <c r="I288" s="238"/>
      <c r="J288" s="238"/>
      <c r="K288" s="238"/>
      <c r="L288" s="238"/>
      <c r="M288" s="238"/>
      <c r="N288" s="238"/>
      <c r="O288" s="238"/>
      <c r="P288" s="238"/>
      <c r="Q288" s="238"/>
      <c r="R288" s="238"/>
    </row>
    <row r="289" spans="1:18" x14ac:dyDescent="0.2">
      <c r="A289" s="238"/>
      <c r="B289" s="238"/>
      <c r="C289" s="238"/>
      <c r="D289" s="238"/>
      <c r="E289" s="238"/>
      <c r="F289" s="238"/>
      <c r="G289" s="238"/>
      <c r="H289" s="238"/>
      <c r="I289" s="238"/>
      <c r="J289" s="238"/>
      <c r="K289" s="238"/>
      <c r="L289" s="238"/>
      <c r="M289" s="238"/>
      <c r="N289" s="238"/>
      <c r="O289" s="238"/>
      <c r="P289" s="238"/>
      <c r="Q289" s="238"/>
      <c r="R289" s="238"/>
    </row>
    <row r="290" spans="1:18" x14ac:dyDescent="0.2">
      <c r="A290" s="238"/>
      <c r="B290" s="238"/>
      <c r="C290" s="238"/>
      <c r="D290" s="238"/>
      <c r="E290" s="238"/>
      <c r="F290" s="238"/>
      <c r="G290" s="238"/>
      <c r="H290" s="238"/>
      <c r="I290" s="238"/>
      <c r="J290" s="238"/>
      <c r="K290" s="238"/>
      <c r="L290" s="238"/>
      <c r="M290" s="238"/>
      <c r="N290" s="238"/>
      <c r="O290" s="238"/>
      <c r="P290" s="238"/>
      <c r="Q290" s="238"/>
      <c r="R290" s="238"/>
    </row>
    <row r="291" spans="1:18" x14ac:dyDescent="0.2">
      <c r="A291" s="238"/>
      <c r="B291" s="238"/>
      <c r="C291" s="238"/>
      <c r="D291" s="238"/>
      <c r="E291" s="238"/>
      <c r="F291" s="238"/>
      <c r="G291" s="238"/>
      <c r="H291" s="238"/>
      <c r="I291" s="238"/>
      <c r="J291" s="238"/>
      <c r="K291" s="238"/>
      <c r="L291" s="238"/>
      <c r="M291" s="238"/>
      <c r="N291" s="238"/>
      <c r="O291" s="238"/>
      <c r="P291" s="238"/>
      <c r="Q291" s="238"/>
      <c r="R291" s="238"/>
    </row>
    <row r="292" spans="1:18" x14ac:dyDescent="0.2">
      <c r="A292" s="238"/>
      <c r="B292" s="238"/>
      <c r="C292" s="238"/>
      <c r="D292" s="238"/>
      <c r="E292" s="238"/>
      <c r="F292" s="238"/>
      <c r="G292" s="238"/>
      <c r="H292" s="238"/>
      <c r="I292" s="238"/>
      <c r="J292" s="238"/>
      <c r="K292" s="238"/>
      <c r="L292" s="238"/>
      <c r="M292" s="238"/>
      <c r="N292" s="238"/>
      <c r="O292" s="238"/>
      <c r="P292" s="238"/>
      <c r="Q292" s="238"/>
      <c r="R292" s="238"/>
    </row>
    <row r="293" spans="1:18" x14ac:dyDescent="0.2">
      <c r="A293" s="238"/>
      <c r="B293" s="238"/>
      <c r="C293" s="238"/>
      <c r="D293" s="238"/>
      <c r="E293" s="238"/>
      <c r="F293" s="238"/>
      <c r="G293" s="238"/>
      <c r="H293" s="238"/>
      <c r="I293" s="238"/>
      <c r="J293" s="238"/>
      <c r="K293" s="238"/>
      <c r="L293" s="238"/>
      <c r="M293" s="238"/>
      <c r="N293" s="238"/>
      <c r="O293" s="238"/>
      <c r="P293" s="238"/>
      <c r="Q293" s="238"/>
      <c r="R293" s="238"/>
    </row>
    <row r="294" spans="1:18" x14ac:dyDescent="0.2">
      <c r="A294" s="238"/>
      <c r="B294" s="238"/>
      <c r="C294" s="238"/>
      <c r="D294" s="238"/>
      <c r="E294" s="238"/>
      <c r="F294" s="238"/>
      <c r="G294" s="238"/>
      <c r="H294" s="238"/>
      <c r="I294" s="238"/>
      <c r="J294" s="238"/>
      <c r="K294" s="238"/>
      <c r="L294" s="238"/>
      <c r="M294" s="238"/>
      <c r="N294" s="238"/>
      <c r="O294" s="238"/>
      <c r="P294" s="238"/>
      <c r="Q294" s="238"/>
      <c r="R294" s="238"/>
    </row>
    <row r="295" spans="1:18" x14ac:dyDescent="0.2">
      <c r="A295" s="238"/>
      <c r="B295" s="238"/>
      <c r="C295" s="238"/>
      <c r="D295" s="238"/>
      <c r="E295" s="238"/>
      <c r="F295" s="238"/>
      <c r="G295" s="238"/>
      <c r="H295" s="238"/>
      <c r="I295" s="238"/>
      <c r="J295" s="238"/>
      <c r="K295" s="238"/>
      <c r="L295" s="238"/>
      <c r="M295" s="238"/>
      <c r="N295" s="238"/>
      <c r="O295" s="238"/>
      <c r="P295" s="238"/>
      <c r="Q295" s="238"/>
      <c r="R295" s="238"/>
    </row>
    <row r="296" spans="1:18" x14ac:dyDescent="0.2">
      <c r="A296" s="238"/>
      <c r="B296" s="238"/>
      <c r="C296" s="238"/>
      <c r="D296" s="238"/>
      <c r="E296" s="238"/>
      <c r="F296" s="238"/>
      <c r="G296" s="238"/>
      <c r="H296" s="238"/>
      <c r="I296" s="238"/>
      <c r="J296" s="238"/>
      <c r="K296" s="238"/>
      <c r="L296" s="238"/>
      <c r="M296" s="238"/>
      <c r="N296" s="238"/>
      <c r="O296" s="238"/>
      <c r="P296" s="238"/>
      <c r="Q296" s="238"/>
      <c r="R296" s="238"/>
    </row>
    <row r="297" spans="1:18" x14ac:dyDescent="0.2">
      <c r="A297" s="238"/>
      <c r="B297" s="238"/>
      <c r="C297" s="238"/>
      <c r="D297" s="238"/>
      <c r="E297" s="238"/>
      <c r="F297" s="238"/>
      <c r="G297" s="238"/>
      <c r="H297" s="238"/>
      <c r="I297" s="238"/>
      <c r="J297" s="238"/>
      <c r="K297" s="238"/>
      <c r="L297" s="238"/>
      <c r="M297" s="238"/>
      <c r="N297" s="238"/>
      <c r="O297" s="238"/>
      <c r="P297" s="238"/>
      <c r="Q297" s="238"/>
      <c r="R297" s="238"/>
    </row>
    <row r="298" spans="1:18" x14ac:dyDescent="0.2">
      <c r="A298" s="238"/>
      <c r="B298" s="238"/>
      <c r="C298" s="238"/>
      <c r="D298" s="238"/>
      <c r="E298" s="238"/>
      <c r="F298" s="238"/>
      <c r="G298" s="238"/>
      <c r="H298" s="238"/>
      <c r="I298" s="238"/>
      <c r="J298" s="238"/>
      <c r="K298" s="238"/>
      <c r="L298" s="238"/>
      <c r="M298" s="238"/>
      <c r="N298" s="238"/>
      <c r="O298" s="238"/>
      <c r="P298" s="238"/>
      <c r="Q298" s="238"/>
      <c r="R298" s="238"/>
    </row>
    <row r="299" spans="1:18" x14ac:dyDescent="0.2">
      <c r="A299" s="238"/>
      <c r="B299" s="238"/>
      <c r="C299" s="238"/>
      <c r="D299" s="238"/>
      <c r="E299" s="238"/>
      <c r="F299" s="238"/>
      <c r="G299" s="238"/>
      <c r="H299" s="238"/>
      <c r="I299" s="238"/>
      <c r="J299" s="238"/>
      <c r="K299" s="238"/>
      <c r="L299" s="238"/>
      <c r="M299" s="238"/>
      <c r="N299" s="238"/>
      <c r="O299" s="238"/>
      <c r="P299" s="238"/>
      <c r="Q299" s="238"/>
      <c r="R299" s="238"/>
    </row>
    <row r="300" spans="1:18" x14ac:dyDescent="0.2">
      <c r="A300" s="238"/>
      <c r="B300" s="238"/>
      <c r="C300" s="238"/>
      <c r="D300" s="238"/>
      <c r="E300" s="238"/>
      <c r="F300" s="238"/>
      <c r="G300" s="238"/>
      <c r="H300" s="238"/>
      <c r="I300" s="238"/>
      <c r="J300" s="238"/>
      <c r="K300" s="238"/>
      <c r="L300" s="238"/>
      <c r="M300" s="238"/>
      <c r="N300" s="238"/>
      <c r="O300" s="238"/>
      <c r="P300" s="238"/>
      <c r="Q300" s="238"/>
      <c r="R300" s="238"/>
    </row>
    <row r="301" spans="1:18" x14ac:dyDescent="0.2">
      <c r="A301" s="238"/>
      <c r="B301" s="238"/>
      <c r="C301" s="238"/>
      <c r="D301" s="238"/>
      <c r="E301" s="238"/>
      <c r="F301" s="238"/>
      <c r="G301" s="238"/>
      <c r="H301" s="238"/>
      <c r="I301" s="238"/>
      <c r="J301" s="238"/>
      <c r="K301" s="238"/>
      <c r="L301" s="238"/>
      <c r="M301" s="238"/>
      <c r="N301" s="238"/>
      <c r="O301" s="238"/>
      <c r="P301" s="238"/>
      <c r="Q301" s="238"/>
      <c r="R301" s="238"/>
    </row>
    <row r="302" spans="1:18" x14ac:dyDescent="0.2">
      <c r="A302" s="238"/>
      <c r="B302" s="238"/>
      <c r="C302" s="238"/>
      <c r="D302" s="238"/>
      <c r="E302" s="238"/>
      <c r="F302" s="238"/>
      <c r="G302" s="238"/>
      <c r="H302" s="238"/>
      <c r="I302" s="238"/>
      <c r="J302" s="238"/>
      <c r="K302" s="238"/>
      <c r="L302" s="238"/>
      <c r="M302" s="238"/>
      <c r="N302" s="238"/>
      <c r="O302" s="238"/>
      <c r="P302" s="238"/>
      <c r="Q302" s="238"/>
      <c r="R302" s="238"/>
    </row>
    <row r="303" spans="1:18" x14ac:dyDescent="0.2">
      <c r="A303" s="238"/>
      <c r="B303" s="238"/>
      <c r="C303" s="238"/>
      <c r="D303" s="238"/>
      <c r="E303" s="238"/>
      <c r="F303" s="238"/>
      <c r="G303" s="238"/>
      <c r="H303" s="238"/>
      <c r="I303" s="238"/>
      <c r="J303" s="238"/>
      <c r="K303" s="238"/>
      <c r="L303" s="238"/>
      <c r="M303" s="238"/>
      <c r="N303" s="238"/>
      <c r="O303" s="238"/>
      <c r="P303" s="238"/>
      <c r="Q303" s="238"/>
      <c r="R303" s="238"/>
    </row>
    <row r="304" spans="1:18" x14ac:dyDescent="0.2">
      <c r="A304" s="238"/>
      <c r="B304" s="238"/>
      <c r="C304" s="238"/>
      <c r="D304" s="238"/>
      <c r="E304" s="238"/>
      <c r="F304" s="238"/>
      <c r="G304" s="238"/>
      <c r="H304" s="238"/>
      <c r="I304" s="238"/>
      <c r="J304" s="238"/>
      <c r="K304" s="238"/>
      <c r="L304" s="238"/>
      <c r="M304" s="238"/>
      <c r="N304" s="238"/>
      <c r="O304" s="238"/>
      <c r="P304" s="238"/>
      <c r="Q304" s="238"/>
      <c r="R304" s="238"/>
    </row>
    <row r="305" spans="1:18" x14ac:dyDescent="0.2">
      <c r="A305" s="238"/>
      <c r="B305" s="238"/>
      <c r="C305" s="238"/>
      <c r="D305" s="238"/>
      <c r="E305" s="238"/>
      <c r="F305" s="238"/>
      <c r="G305" s="238"/>
      <c r="H305" s="238"/>
      <c r="I305" s="238"/>
      <c r="J305" s="238"/>
      <c r="K305" s="238"/>
      <c r="L305" s="238"/>
      <c r="M305" s="238"/>
      <c r="N305" s="238"/>
      <c r="O305" s="238"/>
      <c r="P305" s="238"/>
      <c r="Q305" s="238"/>
      <c r="R305" s="238"/>
    </row>
    <row r="306" spans="1:18" x14ac:dyDescent="0.2">
      <c r="A306" s="238"/>
      <c r="B306" s="238"/>
      <c r="C306" s="238"/>
      <c r="D306" s="238"/>
      <c r="E306" s="238"/>
      <c r="F306" s="238"/>
      <c r="G306" s="238"/>
      <c r="H306" s="238"/>
      <c r="I306" s="238"/>
      <c r="J306" s="238"/>
      <c r="K306" s="238"/>
      <c r="L306" s="238"/>
      <c r="M306" s="238"/>
      <c r="N306" s="238"/>
      <c r="O306" s="238"/>
      <c r="P306" s="238"/>
      <c r="Q306" s="238"/>
      <c r="R306" s="238"/>
    </row>
    <row r="307" spans="1:18" x14ac:dyDescent="0.2">
      <c r="A307" s="238"/>
      <c r="B307" s="238"/>
      <c r="C307" s="238"/>
      <c r="D307" s="238"/>
      <c r="E307" s="238"/>
      <c r="F307" s="238"/>
      <c r="G307" s="238"/>
      <c r="H307" s="238"/>
      <c r="I307" s="238"/>
      <c r="J307" s="238"/>
      <c r="K307" s="238"/>
      <c r="L307" s="238"/>
      <c r="M307" s="238"/>
      <c r="N307" s="238"/>
      <c r="O307" s="238"/>
      <c r="P307" s="238"/>
      <c r="Q307" s="238"/>
      <c r="R307" s="238"/>
    </row>
    <row r="308" spans="1:18" x14ac:dyDescent="0.2">
      <c r="A308" s="238"/>
      <c r="B308" s="238"/>
      <c r="C308" s="238"/>
      <c r="D308" s="238"/>
      <c r="E308" s="238"/>
      <c r="F308" s="238"/>
      <c r="G308" s="238"/>
      <c r="H308" s="238"/>
      <c r="I308" s="238"/>
      <c r="J308" s="238"/>
      <c r="K308" s="238"/>
      <c r="L308" s="238"/>
      <c r="M308" s="238"/>
      <c r="N308" s="238"/>
      <c r="O308" s="238"/>
      <c r="P308" s="238"/>
      <c r="Q308" s="238"/>
      <c r="R308" s="238"/>
    </row>
    <row r="309" spans="1:18" x14ac:dyDescent="0.2">
      <c r="A309" s="238"/>
      <c r="B309" s="238"/>
      <c r="C309" s="238"/>
      <c r="D309" s="238"/>
      <c r="E309" s="238"/>
      <c r="F309" s="238"/>
      <c r="G309" s="238"/>
      <c r="H309" s="238"/>
      <c r="I309" s="238"/>
      <c r="J309" s="238"/>
      <c r="K309" s="238"/>
      <c r="L309" s="238"/>
      <c r="M309" s="238"/>
      <c r="N309" s="238"/>
      <c r="O309" s="238"/>
      <c r="P309" s="238"/>
      <c r="Q309" s="238"/>
      <c r="R309" s="238"/>
    </row>
    <row r="310" spans="1:18" x14ac:dyDescent="0.2">
      <c r="A310" s="238"/>
      <c r="B310" s="238"/>
      <c r="C310" s="238"/>
      <c r="D310" s="238"/>
      <c r="E310" s="238"/>
      <c r="F310" s="238"/>
      <c r="G310" s="238"/>
      <c r="H310" s="238"/>
      <c r="I310" s="238"/>
      <c r="J310" s="238"/>
      <c r="K310" s="238"/>
      <c r="L310" s="238"/>
      <c r="M310" s="238"/>
      <c r="N310" s="238"/>
      <c r="O310" s="238"/>
      <c r="P310" s="238"/>
      <c r="Q310" s="238"/>
      <c r="R310" s="238"/>
    </row>
    <row r="311" spans="1:18" x14ac:dyDescent="0.2">
      <c r="A311" s="238"/>
      <c r="B311" s="238"/>
      <c r="C311" s="238"/>
      <c r="D311" s="238"/>
      <c r="E311" s="238"/>
      <c r="F311" s="238"/>
      <c r="G311" s="238"/>
      <c r="H311" s="238"/>
      <c r="I311" s="238"/>
      <c r="J311" s="238"/>
      <c r="K311" s="238"/>
      <c r="L311" s="238"/>
      <c r="M311" s="238"/>
      <c r="N311" s="238"/>
      <c r="O311" s="238"/>
      <c r="P311" s="238"/>
      <c r="Q311" s="238"/>
      <c r="R311" s="238"/>
    </row>
    <row r="312" spans="1:18" x14ac:dyDescent="0.2">
      <c r="A312" s="238"/>
      <c r="B312" s="238"/>
      <c r="C312" s="238"/>
      <c r="D312" s="238"/>
      <c r="E312" s="238"/>
      <c r="F312" s="238"/>
      <c r="G312" s="238"/>
      <c r="H312" s="238"/>
      <c r="I312" s="238"/>
      <c r="J312" s="238"/>
      <c r="K312" s="238"/>
      <c r="L312" s="238"/>
      <c r="M312" s="238"/>
      <c r="N312" s="238"/>
      <c r="O312" s="238"/>
      <c r="P312" s="238"/>
      <c r="Q312" s="238"/>
      <c r="R312" s="238"/>
    </row>
    <row r="313" spans="1:18" x14ac:dyDescent="0.2">
      <c r="A313" s="238"/>
      <c r="B313" s="238"/>
      <c r="C313" s="238"/>
      <c r="D313" s="238"/>
      <c r="E313" s="238"/>
      <c r="F313" s="238"/>
      <c r="G313" s="238"/>
      <c r="H313" s="238"/>
      <c r="I313" s="238"/>
      <c r="J313" s="238"/>
      <c r="K313" s="238"/>
      <c r="L313" s="238"/>
      <c r="M313" s="238"/>
      <c r="N313" s="238"/>
      <c r="O313" s="238"/>
      <c r="P313" s="238"/>
      <c r="Q313" s="238"/>
      <c r="R313" s="238"/>
    </row>
    <row r="314" spans="1:18" x14ac:dyDescent="0.2">
      <c r="A314" s="238"/>
      <c r="B314" s="238"/>
      <c r="C314" s="238"/>
      <c r="D314" s="238"/>
      <c r="E314" s="238"/>
      <c r="F314" s="238"/>
      <c r="G314" s="238"/>
      <c r="H314" s="238"/>
      <c r="I314" s="238"/>
      <c r="J314" s="238"/>
      <c r="K314" s="238"/>
      <c r="L314" s="238"/>
      <c r="M314" s="238"/>
      <c r="N314" s="238"/>
      <c r="O314" s="238"/>
      <c r="P314" s="238"/>
      <c r="Q314" s="238"/>
      <c r="R314" s="238"/>
    </row>
    <row r="315" spans="1:18" x14ac:dyDescent="0.2">
      <c r="A315" s="238"/>
      <c r="B315" s="238"/>
      <c r="C315" s="238"/>
      <c r="D315" s="238"/>
      <c r="E315" s="238"/>
      <c r="F315" s="238"/>
      <c r="G315" s="238"/>
      <c r="H315" s="238"/>
      <c r="I315" s="238"/>
      <c r="J315" s="238"/>
      <c r="K315" s="238"/>
      <c r="L315" s="238"/>
      <c r="M315" s="238"/>
      <c r="N315" s="238"/>
      <c r="O315" s="238"/>
      <c r="P315" s="238"/>
      <c r="Q315" s="238"/>
      <c r="R315" s="238"/>
    </row>
    <row r="316" spans="1:18" x14ac:dyDescent="0.2">
      <c r="A316" s="238"/>
      <c r="B316" s="238"/>
      <c r="C316" s="238"/>
      <c r="D316" s="238"/>
      <c r="E316" s="238"/>
      <c r="F316" s="238"/>
      <c r="G316" s="238"/>
      <c r="H316" s="238"/>
      <c r="I316" s="238"/>
      <c r="J316" s="238"/>
      <c r="K316" s="238"/>
      <c r="L316" s="238"/>
      <c r="M316" s="238"/>
      <c r="N316" s="238"/>
      <c r="O316" s="238"/>
      <c r="P316" s="238"/>
      <c r="Q316" s="238"/>
      <c r="R316" s="238"/>
    </row>
    <row r="317" spans="1:18" x14ac:dyDescent="0.2">
      <c r="A317" s="238"/>
      <c r="B317" s="238"/>
      <c r="C317" s="238"/>
      <c r="D317" s="238"/>
      <c r="E317" s="238"/>
      <c r="F317" s="238"/>
      <c r="G317" s="238"/>
      <c r="H317" s="238"/>
      <c r="I317" s="238"/>
      <c r="J317" s="238"/>
      <c r="K317" s="238"/>
      <c r="L317" s="238"/>
      <c r="M317" s="238"/>
      <c r="N317" s="238"/>
      <c r="O317" s="238"/>
      <c r="P317" s="238"/>
      <c r="Q317" s="238"/>
      <c r="R317" s="238"/>
    </row>
    <row r="318" spans="1:18" x14ac:dyDescent="0.2">
      <c r="A318" s="238"/>
      <c r="B318" s="238"/>
      <c r="C318" s="238"/>
      <c r="D318" s="238"/>
      <c r="E318" s="238"/>
      <c r="F318" s="238"/>
      <c r="G318" s="238"/>
      <c r="H318" s="238"/>
      <c r="I318" s="238"/>
      <c r="J318" s="238"/>
      <c r="K318" s="238"/>
      <c r="L318" s="238"/>
      <c r="M318" s="238"/>
      <c r="N318" s="238"/>
      <c r="O318" s="238"/>
      <c r="P318" s="238"/>
      <c r="Q318" s="238"/>
      <c r="R318" s="238"/>
    </row>
    <row r="319" spans="1:18" x14ac:dyDescent="0.2">
      <c r="A319" s="238"/>
      <c r="B319" s="238"/>
      <c r="C319" s="238"/>
      <c r="D319" s="238"/>
      <c r="E319" s="238"/>
      <c r="F319" s="238"/>
      <c r="G319" s="238"/>
      <c r="H319" s="238"/>
      <c r="I319" s="238"/>
      <c r="J319" s="238"/>
      <c r="K319" s="238"/>
      <c r="L319" s="238"/>
      <c r="M319" s="238"/>
      <c r="N319" s="238"/>
      <c r="O319" s="238"/>
      <c r="P319" s="238"/>
      <c r="Q319" s="238"/>
      <c r="R319" s="238"/>
    </row>
    <row r="320" spans="1:18" x14ac:dyDescent="0.2">
      <c r="A320" s="238"/>
      <c r="B320" s="238"/>
      <c r="C320" s="238"/>
      <c r="D320" s="238"/>
      <c r="E320" s="238"/>
      <c r="F320" s="238"/>
      <c r="G320" s="238"/>
      <c r="H320" s="238"/>
      <c r="I320" s="238"/>
      <c r="J320" s="238"/>
      <c r="K320" s="238"/>
      <c r="L320" s="238"/>
      <c r="M320" s="238"/>
      <c r="N320" s="238"/>
      <c r="O320" s="238"/>
      <c r="P320" s="238"/>
      <c r="Q320" s="238"/>
      <c r="R320" s="238"/>
    </row>
    <row r="321" spans="1:18" x14ac:dyDescent="0.2">
      <c r="A321" s="238"/>
      <c r="B321" s="238"/>
      <c r="C321" s="238"/>
      <c r="D321" s="238"/>
      <c r="E321" s="238"/>
      <c r="F321" s="238"/>
      <c r="G321" s="238"/>
      <c r="H321" s="238"/>
      <c r="I321" s="238"/>
      <c r="J321" s="238"/>
      <c r="K321" s="238"/>
      <c r="L321" s="238"/>
      <c r="M321" s="238"/>
      <c r="N321" s="238"/>
      <c r="O321" s="238"/>
      <c r="P321" s="238"/>
      <c r="Q321" s="238"/>
      <c r="R321" s="238"/>
    </row>
    <row r="322" spans="1:18" x14ac:dyDescent="0.2">
      <c r="A322" s="238"/>
      <c r="B322" s="238"/>
      <c r="C322" s="238"/>
      <c r="D322" s="238"/>
      <c r="E322" s="238"/>
      <c r="F322" s="238"/>
      <c r="G322" s="238"/>
      <c r="H322" s="238"/>
      <c r="I322" s="238"/>
      <c r="J322" s="238"/>
      <c r="K322" s="238"/>
      <c r="L322" s="238"/>
      <c r="M322" s="238"/>
      <c r="N322" s="238"/>
      <c r="O322" s="238"/>
      <c r="P322" s="238"/>
      <c r="Q322" s="238"/>
      <c r="R322" s="238"/>
    </row>
    <row r="323" spans="1:18" x14ac:dyDescent="0.2">
      <c r="A323" s="238"/>
      <c r="B323" s="238"/>
      <c r="C323" s="238"/>
      <c r="D323" s="238"/>
      <c r="E323" s="238"/>
      <c r="F323" s="238"/>
      <c r="G323" s="238"/>
      <c r="H323" s="238"/>
      <c r="I323" s="238"/>
      <c r="J323" s="238"/>
      <c r="K323" s="238"/>
      <c r="L323" s="238"/>
      <c r="M323" s="238"/>
      <c r="N323" s="238"/>
      <c r="O323" s="238"/>
      <c r="P323" s="238"/>
      <c r="Q323" s="238"/>
      <c r="R323" s="238"/>
    </row>
    <row r="324" spans="1:18" x14ac:dyDescent="0.2">
      <c r="A324" s="238"/>
      <c r="B324" s="238"/>
      <c r="C324" s="238"/>
      <c r="D324" s="238"/>
      <c r="E324" s="238"/>
      <c r="F324" s="238"/>
      <c r="G324" s="238"/>
      <c r="H324" s="238"/>
      <c r="I324" s="238"/>
      <c r="J324" s="238"/>
      <c r="K324" s="238"/>
      <c r="L324" s="238"/>
      <c r="M324" s="238"/>
      <c r="N324" s="238"/>
      <c r="O324" s="238"/>
      <c r="P324" s="238"/>
      <c r="Q324" s="238"/>
      <c r="R324" s="238"/>
    </row>
    <row r="325" spans="1:18" x14ac:dyDescent="0.2">
      <c r="A325" s="238"/>
      <c r="B325" s="238"/>
      <c r="C325" s="238"/>
      <c r="D325" s="238"/>
      <c r="E325" s="238"/>
      <c r="F325" s="238"/>
      <c r="G325" s="238"/>
      <c r="H325" s="238"/>
      <c r="I325" s="238"/>
      <c r="J325" s="238"/>
      <c r="K325" s="238"/>
      <c r="L325" s="238"/>
      <c r="M325" s="238"/>
      <c r="N325" s="238"/>
      <c r="O325" s="238"/>
      <c r="P325" s="238"/>
      <c r="Q325" s="238"/>
      <c r="R325" s="238"/>
    </row>
    <row r="326" spans="1:18" x14ac:dyDescent="0.2">
      <c r="A326" s="238"/>
      <c r="B326" s="238"/>
      <c r="C326" s="238"/>
      <c r="D326" s="238"/>
      <c r="E326" s="238"/>
      <c r="F326" s="238"/>
      <c r="G326" s="238"/>
      <c r="H326" s="238"/>
      <c r="I326" s="238"/>
      <c r="J326" s="238"/>
      <c r="K326" s="238"/>
      <c r="L326" s="238"/>
      <c r="M326" s="238"/>
      <c r="N326" s="238"/>
      <c r="O326" s="238"/>
      <c r="P326" s="238"/>
      <c r="Q326" s="238"/>
      <c r="R326" s="238"/>
    </row>
    <row r="327" spans="1:18" x14ac:dyDescent="0.2">
      <c r="A327" s="238"/>
      <c r="B327" s="238"/>
      <c r="C327" s="238"/>
      <c r="D327" s="238"/>
      <c r="E327" s="238"/>
      <c r="F327" s="238"/>
      <c r="G327" s="238"/>
      <c r="H327" s="238"/>
      <c r="I327" s="238"/>
      <c r="J327" s="238"/>
      <c r="K327" s="238"/>
      <c r="L327" s="238"/>
      <c r="M327" s="238"/>
      <c r="N327" s="238"/>
      <c r="O327" s="238"/>
      <c r="P327" s="238"/>
      <c r="Q327" s="238"/>
      <c r="R327" s="238"/>
    </row>
    <row r="328" spans="1:18" x14ac:dyDescent="0.2">
      <c r="A328" s="238"/>
      <c r="B328" s="238"/>
      <c r="C328" s="238"/>
      <c r="D328" s="238"/>
      <c r="E328" s="238"/>
      <c r="F328" s="238"/>
      <c r="G328" s="238"/>
      <c r="H328" s="238"/>
      <c r="I328" s="238"/>
      <c r="J328" s="238"/>
      <c r="K328" s="238"/>
      <c r="L328" s="238"/>
      <c r="M328" s="238"/>
      <c r="N328" s="238"/>
      <c r="O328" s="238"/>
      <c r="P328" s="238"/>
      <c r="Q328" s="238"/>
      <c r="R328" s="238"/>
    </row>
    <row r="329" spans="1:18" x14ac:dyDescent="0.2">
      <c r="A329" s="238"/>
      <c r="B329" s="238"/>
      <c r="C329" s="238"/>
      <c r="D329" s="238"/>
      <c r="E329" s="238"/>
      <c r="F329" s="238"/>
      <c r="G329" s="238"/>
      <c r="H329" s="238"/>
      <c r="I329" s="238"/>
      <c r="J329" s="238"/>
      <c r="K329" s="238"/>
      <c r="L329" s="238"/>
      <c r="M329" s="238"/>
      <c r="N329" s="238"/>
      <c r="O329" s="238"/>
      <c r="P329" s="238"/>
      <c r="Q329" s="238"/>
      <c r="R329" s="238"/>
    </row>
    <row r="330" spans="1:18" x14ac:dyDescent="0.2">
      <c r="A330" s="238"/>
      <c r="B330" s="238"/>
      <c r="C330" s="238"/>
      <c r="D330" s="238"/>
      <c r="E330" s="238"/>
      <c r="F330" s="238"/>
      <c r="G330" s="238"/>
      <c r="H330" s="238"/>
      <c r="I330" s="238"/>
      <c r="J330" s="238"/>
      <c r="K330" s="238"/>
      <c r="L330" s="238"/>
      <c r="M330" s="238"/>
      <c r="N330" s="238"/>
      <c r="O330" s="238"/>
      <c r="P330" s="238"/>
      <c r="Q330" s="238"/>
      <c r="R330" s="238"/>
    </row>
    <row r="331" spans="1:18" x14ac:dyDescent="0.2">
      <c r="A331" s="238"/>
      <c r="B331" s="238"/>
      <c r="C331" s="238"/>
      <c r="D331" s="238"/>
      <c r="E331" s="238"/>
      <c r="F331" s="238"/>
      <c r="G331" s="238"/>
      <c r="H331" s="238"/>
      <c r="I331" s="238"/>
      <c r="J331" s="238"/>
      <c r="K331" s="238"/>
      <c r="L331" s="238"/>
      <c r="M331" s="238"/>
      <c r="N331" s="238"/>
      <c r="O331" s="238"/>
      <c r="P331" s="238"/>
      <c r="Q331" s="238"/>
      <c r="R331" s="238"/>
    </row>
    <row r="332" spans="1:18" x14ac:dyDescent="0.2">
      <c r="A332" s="238"/>
      <c r="B332" s="238"/>
      <c r="C332" s="238"/>
      <c r="D332" s="238"/>
      <c r="E332" s="238"/>
      <c r="F332" s="238"/>
      <c r="G332" s="238"/>
      <c r="H332" s="238"/>
      <c r="I332" s="238"/>
      <c r="J332" s="238"/>
      <c r="K332" s="238"/>
      <c r="L332" s="238"/>
      <c r="M332" s="238"/>
      <c r="N332" s="238"/>
      <c r="O332" s="238"/>
      <c r="P332" s="238"/>
      <c r="Q332" s="238"/>
      <c r="R332" s="238"/>
    </row>
    <row r="333" spans="1:18" x14ac:dyDescent="0.2">
      <c r="A333" s="238"/>
      <c r="B333" s="238"/>
      <c r="C333" s="238"/>
      <c r="D333" s="238"/>
      <c r="E333" s="238"/>
      <c r="F333" s="238"/>
      <c r="G333" s="238"/>
      <c r="H333" s="238"/>
      <c r="I333" s="238"/>
      <c r="J333" s="238"/>
      <c r="K333" s="238"/>
      <c r="L333" s="238"/>
      <c r="M333" s="238"/>
      <c r="N333" s="238"/>
      <c r="O333" s="238"/>
      <c r="P333" s="238"/>
      <c r="Q333" s="238"/>
      <c r="R333" s="238"/>
    </row>
    <row r="334" spans="1:18" x14ac:dyDescent="0.2">
      <c r="A334" s="238"/>
      <c r="B334" s="238"/>
      <c r="C334" s="238"/>
      <c r="D334" s="238"/>
      <c r="E334" s="238"/>
      <c r="F334" s="238"/>
      <c r="G334" s="238"/>
      <c r="H334" s="238"/>
      <c r="I334" s="238"/>
      <c r="J334" s="238"/>
      <c r="K334" s="238"/>
      <c r="L334" s="238"/>
      <c r="M334" s="238"/>
      <c r="N334" s="238"/>
      <c r="O334" s="238"/>
      <c r="P334" s="238"/>
      <c r="Q334" s="238"/>
      <c r="R334" s="238"/>
    </row>
    <row r="335" spans="1:18" x14ac:dyDescent="0.2">
      <c r="A335" s="238"/>
      <c r="B335" s="238"/>
      <c r="C335" s="238"/>
      <c r="D335" s="238"/>
      <c r="E335" s="238"/>
      <c r="F335" s="238"/>
      <c r="G335" s="238"/>
      <c r="H335" s="238"/>
      <c r="I335" s="238"/>
      <c r="J335" s="238"/>
      <c r="K335" s="238"/>
      <c r="L335" s="238"/>
      <c r="M335" s="238"/>
      <c r="N335" s="238"/>
      <c r="O335" s="238"/>
      <c r="P335" s="238"/>
      <c r="Q335" s="238"/>
      <c r="R335" s="238"/>
    </row>
    <row r="336" spans="1:18" x14ac:dyDescent="0.2">
      <c r="A336" s="238"/>
      <c r="B336" s="238"/>
      <c r="C336" s="238"/>
      <c r="D336" s="238"/>
      <c r="E336" s="238"/>
      <c r="F336" s="238"/>
      <c r="G336" s="238"/>
      <c r="H336" s="238"/>
      <c r="I336" s="238"/>
      <c r="J336" s="238"/>
      <c r="K336" s="238"/>
      <c r="L336" s="238"/>
      <c r="M336" s="238"/>
      <c r="N336" s="238"/>
      <c r="O336" s="238"/>
      <c r="P336" s="238"/>
      <c r="Q336" s="238"/>
      <c r="R336" s="238"/>
    </row>
    <row r="337" spans="1:18" x14ac:dyDescent="0.2">
      <c r="A337" s="238"/>
      <c r="B337" s="238"/>
      <c r="C337" s="238"/>
      <c r="D337" s="238"/>
      <c r="E337" s="238"/>
      <c r="F337" s="238"/>
      <c r="G337" s="238"/>
      <c r="H337" s="238"/>
      <c r="I337" s="238"/>
      <c r="J337" s="238"/>
      <c r="K337" s="238"/>
      <c r="L337" s="238"/>
      <c r="M337" s="238"/>
      <c r="N337" s="238"/>
      <c r="O337" s="238"/>
      <c r="P337" s="238"/>
      <c r="Q337" s="238"/>
      <c r="R337" s="238"/>
    </row>
    <row r="338" spans="1:18" x14ac:dyDescent="0.2">
      <c r="A338" s="238"/>
      <c r="B338" s="238"/>
      <c r="C338" s="238"/>
      <c r="D338" s="238"/>
      <c r="E338" s="238"/>
      <c r="F338" s="238"/>
      <c r="G338" s="238"/>
      <c r="H338" s="238"/>
      <c r="I338" s="238"/>
      <c r="J338" s="238"/>
      <c r="K338" s="238"/>
      <c r="L338" s="238"/>
      <c r="M338" s="238"/>
      <c r="N338" s="238"/>
      <c r="O338" s="238"/>
      <c r="P338" s="238"/>
      <c r="Q338" s="238"/>
      <c r="R338" s="238"/>
    </row>
    <row r="339" spans="1:18" x14ac:dyDescent="0.2">
      <c r="A339" s="238"/>
      <c r="B339" s="238"/>
      <c r="C339" s="238"/>
      <c r="D339" s="238"/>
      <c r="E339" s="238"/>
      <c r="F339" s="238"/>
      <c r="G339" s="238"/>
      <c r="H339" s="238"/>
      <c r="I339" s="238"/>
      <c r="J339" s="238"/>
      <c r="K339" s="238"/>
      <c r="L339" s="238"/>
      <c r="M339" s="238"/>
      <c r="N339" s="238"/>
      <c r="O339" s="238"/>
      <c r="P339" s="238"/>
      <c r="Q339" s="238"/>
      <c r="R339" s="238"/>
    </row>
    <row r="340" spans="1:18" x14ac:dyDescent="0.2">
      <c r="A340" s="238"/>
      <c r="B340" s="238"/>
      <c r="C340" s="238"/>
      <c r="D340" s="238"/>
      <c r="E340" s="238"/>
      <c r="F340" s="238"/>
      <c r="G340" s="238"/>
      <c r="H340" s="238"/>
      <c r="I340" s="238"/>
      <c r="J340" s="238"/>
      <c r="K340" s="238"/>
      <c r="L340" s="238"/>
      <c r="M340" s="238"/>
      <c r="N340" s="238"/>
      <c r="O340" s="238"/>
      <c r="P340" s="238"/>
      <c r="Q340" s="238"/>
      <c r="R340" s="238"/>
    </row>
    <row r="341" spans="1:18" x14ac:dyDescent="0.2">
      <c r="A341" s="238"/>
      <c r="B341" s="238"/>
      <c r="C341" s="238"/>
      <c r="D341" s="238"/>
      <c r="E341" s="238"/>
      <c r="F341" s="238"/>
      <c r="G341" s="238"/>
      <c r="H341" s="238"/>
      <c r="I341" s="238"/>
      <c r="J341" s="238"/>
      <c r="K341" s="238"/>
      <c r="L341" s="238"/>
      <c r="M341" s="238"/>
      <c r="N341" s="238"/>
      <c r="O341" s="238"/>
      <c r="P341" s="238"/>
      <c r="Q341" s="238"/>
      <c r="R341" s="238"/>
    </row>
    <row r="342" spans="1:18" x14ac:dyDescent="0.2">
      <c r="A342" s="238"/>
      <c r="B342" s="238"/>
      <c r="C342" s="238"/>
      <c r="D342" s="238"/>
      <c r="E342" s="238"/>
      <c r="F342" s="238"/>
      <c r="G342" s="238"/>
      <c r="H342" s="238"/>
      <c r="I342" s="238"/>
      <c r="J342" s="238"/>
      <c r="K342" s="238"/>
      <c r="L342" s="238"/>
      <c r="M342" s="238"/>
      <c r="N342" s="238"/>
      <c r="O342" s="238"/>
      <c r="P342" s="238"/>
      <c r="Q342" s="238"/>
      <c r="R342" s="238"/>
    </row>
    <row r="343" spans="1:18" x14ac:dyDescent="0.2">
      <c r="A343" s="238"/>
      <c r="B343" s="238"/>
      <c r="C343" s="238"/>
      <c r="D343" s="238"/>
      <c r="E343" s="238"/>
      <c r="F343" s="238"/>
      <c r="G343" s="238"/>
      <c r="H343" s="238"/>
      <c r="I343" s="238"/>
      <c r="J343" s="238"/>
      <c r="K343" s="238"/>
      <c r="L343" s="238"/>
      <c r="M343" s="238"/>
      <c r="N343" s="238"/>
      <c r="O343" s="238"/>
      <c r="P343" s="238"/>
      <c r="Q343" s="238"/>
      <c r="R343" s="238"/>
    </row>
    <row r="344" spans="1:18" x14ac:dyDescent="0.2">
      <c r="A344" s="238"/>
      <c r="B344" s="238"/>
      <c r="C344" s="238"/>
      <c r="D344" s="238"/>
      <c r="E344" s="238"/>
      <c r="F344" s="238"/>
      <c r="G344" s="238"/>
      <c r="H344" s="238"/>
      <c r="I344" s="238"/>
      <c r="J344" s="238"/>
      <c r="K344" s="238"/>
      <c r="L344" s="238"/>
      <c r="M344" s="238"/>
      <c r="N344" s="238"/>
      <c r="O344" s="238"/>
      <c r="P344" s="238"/>
      <c r="Q344" s="238"/>
      <c r="R344" s="238"/>
    </row>
    <row r="345" spans="1:18" x14ac:dyDescent="0.2">
      <c r="A345" s="238"/>
      <c r="B345" s="238"/>
      <c r="C345" s="238"/>
      <c r="D345" s="238"/>
      <c r="E345" s="238"/>
      <c r="F345" s="238"/>
      <c r="G345" s="238"/>
      <c r="H345" s="238"/>
      <c r="I345" s="238"/>
      <c r="J345" s="238"/>
      <c r="K345" s="238"/>
      <c r="L345" s="238"/>
      <c r="M345" s="238"/>
      <c r="N345" s="238"/>
      <c r="O345" s="238"/>
      <c r="P345" s="238"/>
      <c r="Q345" s="238"/>
      <c r="R345" s="238"/>
    </row>
    <row r="346" spans="1:18" x14ac:dyDescent="0.2">
      <c r="A346" s="238"/>
      <c r="B346" s="238"/>
      <c r="C346" s="238"/>
      <c r="D346" s="238"/>
      <c r="E346" s="238"/>
      <c r="F346" s="238"/>
      <c r="G346" s="238"/>
      <c r="H346" s="238"/>
      <c r="I346" s="238"/>
      <c r="J346" s="238"/>
      <c r="K346" s="238"/>
      <c r="L346" s="238"/>
      <c r="M346" s="238"/>
      <c r="N346" s="238"/>
      <c r="O346" s="238"/>
      <c r="P346" s="238"/>
      <c r="Q346" s="238"/>
      <c r="R346" s="238"/>
    </row>
    <row r="347" spans="1:18" x14ac:dyDescent="0.2">
      <c r="A347" s="238"/>
      <c r="B347" s="238"/>
      <c r="C347" s="238"/>
      <c r="D347" s="238"/>
      <c r="E347" s="238"/>
      <c r="F347" s="238"/>
      <c r="G347" s="238"/>
      <c r="H347" s="238"/>
      <c r="I347" s="238"/>
      <c r="J347" s="238"/>
      <c r="K347" s="238"/>
      <c r="L347" s="238"/>
      <c r="M347" s="238"/>
      <c r="N347" s="238"/>
      <c r="O347" s="238"/>
      <c r="P347" s="238"/>
      <c r="Q347" s="238"/>
      <c r="R347" s="238"/>
    </row>
    <row r="348" spans="1:18" x14ac:dyDescent="0.2">
      <c r="A348" s="238"/>
      <c r="B348" s="238"/>
      <c r="C348" s="238"/>
      <c r="D348" s="238"/>
      <c r="E348" s="238"/>
      <c r="F348" s="238"/>
      <c r="G348" s="238"/>
      <c r="H348" s="238"/>
      <c r="I348" s="238"/>
      <c r="J348" s="238"/>
      <c r="K348" s="238"/>
      <c r="L348" s="238"/>
      <c r="M348" s="238"/>
      <c r="N348" s="238"/>
      <c r="O348" s="238"/>
      <c r="P348" s="238"/>
      <c r="Q348" s="238"/>
      <c r="R348" s="238"/>
    </row>
    <row r="349" spans="1:18" x14ac:dyDescent="0.2">
      <c r="A349" s="238"/>
      <c r="B349" s="238"/>
      <c r="C349" s="238"/>
      <c r="D349" s="238"/>
      <c r="E349" s="238"/>
      <c r="F349" s="238"/>
      <c r="G349" s="238"/>
      <c r="H349" s="238"/>
      <c r="I349" s="238"/>
      <c r="J349" s="238"/>
      <c r="K349" s="238"/>
      <c r="L349" s="238"/>
      <c r="M349" s="238"/>
      <c r="N349" s="238"/>
      <c r="O349" s="238"/>
      <c r="P349" s="238"/>
      <c r="Q349" s="238"/>
      <c r="R349" s="238"/>
    </row>
    <row r="350" spans="1:18" x14ac:dyDescent="0.2">
      <c r="A350" s="238"/>
      <c r="B350" s="238"/>
      <c r="C350" s="238"/>
      <c r="D350" s="238"/>
      <c r="E350" s="238"/>
      <c r="F350" s="238"/>
      <c r="G350" s="238"/>
      <c r="H350" s="238"/>
      <c r="I350" s="238"/>
      <c r="J350" s="238"/>
      <c r="K350" s="238"/>
      <c r="L350" s="238"/>
      <c r="M350" s="238"/>
      <c r="N350" s="238"/>
      <c r="O350" s="238"/>
      <c r="P350" s="238"/>
      <c r="Q350" s="238"/>
      <c r="R350" s="238"/>
    </row>
    <row r="351" spans="1:18" x14ac:dyDescent="0.2">
      <c r="A351" s="238"/>
      <c r="B351" s="238"/>
      <c r="C351" s="238"/>
      <c r="D351" s="238"/>
      <c r="E351" s="238"/>
      <c r="F351" s="238"/>
      <c r="G351" s="238"/>
      <c r="H351" s="238"/>
      <c r="I351" s="238"/>
      <c r="J351" s="238"/>
      <c r="K351" s="238"/>
      <c r="L351" s="238"/>
      <c r="M351" s="238"/>
      <c r="N351" s="238"/>
      <c r="O351" s="238"/>
      <c r="P351" s="238"/>
      <c r="Q351" s="238"/>
      <c r="R351" s="238"/>
    </row>
    <row r="352" spans="1:18" x14ac:dyDescent="0.2">
      <c r="A352" s="238"/>
      <c r="B352" s="238"/>
      <c r="C352" s="238"/>
      <c r="D352" s="238"/>
      <c r="E352" s="238"/>
      <c r="F352" s="238"/>
      <c r="G352" s="238"/>
      <c r="H352" s="238"/>
      <c r="I352" s="238"/>
      <c r="J352" s="238"/>
      <c r="K352" s="238"/>
      <c r="L352" s="238"/>
      <c r="M352" s="238"/>
      <c r="N352" s="238"/>
      <c r="O352" s="238"/>
      <c r="P352" s="238"/>
      <c r="Q352" s="238"/>
      <c r="R352" s="238"/>
    </row>
    <row r="353" spans="1:18" x14ac:dyDescent="0.2">
      <c r="A353" s="238"/>
      <c r="B353" s="238"/>
      <c r="C353" s="238"/>
      <c r="D353" s="238"/>
      <c r="E353" s="238"/>
      <c r="F353" s="238"/>
      <c r="G353" s="238"/>
      <c r="H353" s="238"/>
      <c r="I353" s="238"/>
      <c r="J353" s="238"/>
      <c r="K353" s="238"/>
      <c r="L353" s="238"/>
      <c r="M353" s="238"/>
      <c r="N353" s="238"/>
      <c r="O353" s="238"/>
      <c r="P353" s="238"/>
      <c r="Q353" s="238"/>
      <c r="R353" s="238"/>
    </row>
    <row r="354" spans="1:18" x14ac:dyDescent="0.2">
      <c r="A354" s="238"/>
      <c r="B354" s="238"/>
      <c r="C354" s="238"/>
      <c r="D354" s="238"/>
      <c r="E354" s="238"/>
      <c r="F354" s="238"/>
      <c r="G354" s="238"/>
      <c r="H354" s="238"/>
      <c r="I354" s="238"/>
      <c r="J354" s="238"/>
      <c r="K354" s="238"/>
      <c r="L354" s="238"/>
      <c r="M354" s="238"/>
      <c r="N354" s="238"/>
      <c r="O354" s="238"/>
      <c r="P354" s="238"/>
      <c r="Q354" s="238"/>
      <c r="R354" s="238"/>
    </row>
    <row r="355" spans="1:18" x14ac:dyDescent="0.2">
      <c r="A355" s="238"/>
      <c r="B355" s="238"/>
      <c r="C355" s="238"/>
      <c r="D355" s="238"/>
      <c r="E355" s="238"/>
      <c r="F355" s="238"/>
      <c r="G355" s="238"/>
      <c r="H355" s="238"/>
      <c r="I355" s="238"/>
      <c r="J355" s="238"/>
      <c r="K355" s="238"/>
      <c r="L355" s="238"/>
      <c r="M355" s="238"/>
      <c r="N355" s="238"/>
      <c r="O355" s="238"/>
      <c r="P355" s="238"/>
      <c r="Q355" s="238"/>
      <c r="R355" s="238"/>
    </row>
    <row r="356" spans="1:18" x14ac:dyDescent="0.2">
      <c r="A356" s="238"/>
      <c r="B356" s="238"/>
      <c r="C356" s="238"/>
      <c r="D356" s="238"/>
      <c r="E356" s="238"/>
      <c r="F356" s="238"/>
      <c r="G356" s="238"/>
      <c r="H356" s="238"/>
      <c r="I356" s="238"/>
      <c r="J356" s="238"/>
      <c r="K356" s="238"/>
      <c r="L356" s="238"/>
      <c r="M356" s="238"/>
      <c r="N356" s="238"/>
      <c r="O356" s="238"/>
      <c r="P356" s="238"/>
      <c r="Q356" s="238"/>
      <c r="R356" s="238"/>
    </row>
    <row r="357" spans="1:18" x14ac:dyDescent="0.2">
      <c r="A357" s="238"/>
      <c r="B357" s="238"/>
      <c r="C357" s="238"/>
      <c r="D357" s="238"/>
      <c r="E357" s="238"/>
      <c r="F357" s="238"/>
      <c r="G357" s="238"/>
      <c r="H357" s="238"/>
      <c r="I357" s="238"/>
      <c r="J357" s="238"/>
      <c r="K357" s="238"/>
      <c r="L357" s="238"/>
      <c r="M357" s="238"/>
      <c r="N357" s="238"/>
      <c r="O357" s="238"/>
      <c r="P357" s="238"/>
      <c r="Q357" s="238"/>
      <c r="R357" s="238"/>
    </row>
    <row r="358" spans="1:18" x14ac:dyDescent="0.2">
      <c r="A358" s="238"/>
      <c r="B358" s="238"/>
      <c r="C358" s="238"/>
      <c r="D358" s="238"/>
      <c r="E358" s="238"/>
      <c r="F358" s="238"/>
      <c r="G358" s="238"/>
      <c r="H358" s="238"/>
      <c r="I358" s="238"/>
      <c r="J358" s="238"/>
      <c r="K358" s="238"/>
      <c r="L358" s="238"/>
      <c r="M358" s="238"/>
      <c r="N358" s="238"/>
      <c r="O358" s="238"/>
      <c r="P358" s="238"/>
      <c r="Q358" s="238"/>
      <c r="R358" s="238"/>
    </row>
    <row r="359" spans="1:18" x14ac:dyDescent="0.2">
      <c r="A359" s="238"/>
      <c r="B359" s="238"/>
      <c r="C359" s="238"/>
      <c r="D359" s="238"/>
      <c r="E359" s="238"/>
      <c r="F359" s="238"/>
      <c r="G359" s="238"/>
      <c r="H359" s="238"/>
      <c r="I359" s="238"/>
      <c r="J359" s="238"/>
      <c r="K359" s="238"/>
      <c r="L359" s="238"/>
      <c r="M359" s="238"/>
      <c r="N359" s="238"/>
      <c r="O359" s="238"/>
      <c r="P359" s="238"/>
      <c r="Q359" s="238"/>
      <c r="R359" s="238"/>
    </row>
    <row r="360" spans="1:18" x14ac:dyDescent="0.2">
      <c r="A360" s="238"/>
      <c r="B360" s="238"/>
      <c r="C360" s="238"/>
      <c r="D360" s="238"/>
      <c r="E360" s="238"/>
      <c r="F360" s="238"/>
      <c r="G360" s="238"/>
      <c r="H360" s="238"/>
      <c r="I360" s="238"/>
      <c r="J360" s="238"/>
      <c r="K360" s="238"/>
      <c r="L360" s="238"/>
      <c r="M360" s="238"/>
      <c r="N360" s="238"/>
      <c r="O360" s="238"/>
      <c r="P360" s="238"/>
      <c r="Q360" s="238"/>
      <c r="R360" s="238"/>
    </row>
    <row r="361" spans="1:18" x14ac:dyDescent="0.2">
      <c r="A361" s="238"/>
      <c r="B361" s="238"/>
      <c r="C361" s="238"/>
      <c r="D361" s="238"/>
      <c r="E361" s="238"/>
      <c r="F361" s="238"/>
      <c r="G361" s="238"/>
      <c r="H361" s="238"/>
      <c r="I361" s="238"/>
      <c r="J361" s="238"/>
      <c r="K361" s="238"/>
      <c r="L361" s="238"/>
      <c r="M361" s="238"/>
      <c r="N361" s="238"/>
      <c r="O361" s="238"/>
      <c r="P361" s="238"/>
      <c r="Q361" s="238"/>
      <c r="R361" s="238"/>
    </row>
    <row r="362" spans="1:18" x14ac:dyDescent="0.2">
      <c r="A362" s="238"/>
      <c r="B362" s="238"/>
      <c r="C362" s="238"/>
      <c r="D362" s="238"/>
      <c r="E362" s="238"/>
      <c r="F362" s="238"/>
      <c r="G362" s="238"/>
      <c r="H362" s="238"/>
      <c r="I362" s="238"/>
      <c r="J362" s="238"/>
      <c r="K362" s="238"/>
      <c r="L362" s="238"/>
      <c r="M362" s="238"/>
      <c r="N362" s="238"/>
      <c r="O362" s="238"/>
      <c r="P362" s="238"/>
      <c r="Q362" s="238"/>
      <c r="R362" s="238"/>
    </row>
    <row r="363" spans="1:18" x14ac:dyDescent="0.2">
      <c r="A363" s="238"/>
      <c r="B363" s="238"/>
      <c r="C363" s="238"/>
      <c r="D363" s="238"/>
      <c r="E363" s="238"/>
      <c r="F363" s="238"/>
      <c r="G363" s="238"/>
      <c r="H363" s="238"/>
      <c r="I363" s="238"/>
      <c r="J363" s="238"/>
      <c r="K363" s="238"/>
      <c r="L363" s="238"/>
      <c r="M363" s="238"/>
      <c r="N363" s="238"/>
      <c r="O363" s="238"/>
      <c r="P363" s="238"/>
      <c r="Q363" s="238"/>
      <c r="R363" s="238"/>
    </row>
    <row r="364" spans="1:18" x14ac:dyDescent="0.2">
      <c r="A364" s="238"/>
      <c r="B364" s="238"/>
      <c r="C364" s="238"/>
      <c r="D364" s="238"/>
      <c r="E364" s="238"/>
      <c r="F364" s="238"/>
      <c r="G364" s="238"/>
      <c r="H364" s="238"/>
      <c r="I364" s="238"/>
      <c r="J364" s="238"/>
      <c r="K364" s="238"/>
      <c r="L364" s="238"/>
      <c r="M364" s="238"/>
      <c r="N364" s="238"/>
      <c r="O364" s="238"/>
      <c r="P364" s="238"/>
      <c r="Q364" s="238"/>
      <c r="R364" s="238"/>
    </row>
    <row r="365" spans="1:18" x14ac:dyDescent="0.2">
      <c r="A365" s="238"/>
      <c r="B365" s="238"/>
      <c r="C365" s="238"/>
      <c r="D365" s="238"/>
      <c r="E365" s="238"/>
      <c r="F365" s="238"/>
      <c r="G365" s="238"/>
      <c r="H365" s="238"/>
      <c r="I365" s="238"/>
      <c r="J365" s="238"/>
      <c r="K365" s="238"/>
      <c r="L365" s="238"/>
      <c r="M365" s="238"/>
      <c r="N365" s="238"/>
      <c r="O365" s="238"/>
      <c r="P365" s="238"/>
      <c r="Q365" s="238"/>
      <c r="R365" s="238"/>
    </row>
    <row r="366" spans="1:18" x14ac:dyDescent="0.2">
      <c r="A366" s="238"/>
      <c r="B366" s="238"/>
      <c r="C366" s="238"/>
      <c r="D366" s="238"/>
      <c r="E366" s="238"/>
      <c r="F366" s="238"/>
      <c r="G366" s="238"/>
      <c r="H366" s="238"/>
      <c r="I366" s="238"/>
      <c r="J366" s="238"/>
      <c r="K366" s="238"/>
      <c r="L366" s="238"/>
      <c r="M366" s="238"/>
      <c r="N366" s="238"/>
      <c r="O366" s="238"/>
      <c r="P366" s="238"/>
      <c r="Q366" s="238"/>
      <c r="R366" s="238"/>
    </row>
    <row r="367" spans="1:18" x14ac:dyDescent="0.2">
      <c r="A367" s="238"/>
      <c r="B367" s="238"/>
      <c r="C367" s="238"/>
      <c r="D367" s="238"/>
      <c r="E367" s="238"/>
      <c r="F367" s="238"/>
      <c r="G367" s="238"/>
      <c r="H367" s="238"/>
      <c r="I367" s="238"/>
      <c r="J367" s="238"/>
      <c r="K367" s="238"/>
      <c r="L367" s="238"/>
      <c r="M367" s="238"/>
      <c r="N367" s="238"/>
      <c r="O367" s="238"/>
      <c r="P367" s="238"/>
      <c r="Q367" s="238"/>
      <c r="R367" s="238"/>
    </row>
    <row r="368" spans="1:18" x14ac:dyDescent="0.2">
      <c r="A368" s="238"/>
      <c r="B368" s="238"/>
      <c r="C368" s="238"/>
      <c r="D368" s="238"/>
      <c r="E368" s="238"/>
      <c r="F368" s="238"/>
      <c r="G368" s="238"/>
      <c r="H368" s="238"/>
      <c r="I368" s="238"/>
      <c r="J368" s="238"/>
      <c r="K368" s="238"/>
      <c r="L368" s="238"/>
      <c r="M368" s="238"/>
      <c r="N368" s="238"/>
      <c r="O368" s="238"/>
      <c r="P368" s="238"/>
      <c r="Q368" s="238"/>
      <c r="R368" s="238"/>
    </row>
    <row r="369" spans="1:18" x14ac:dyDescent="0.2">
      <c r="A369" s="238"/>
      <c r="B369" s="238"/>
      <c r="C369" s="238"/>
      <c r="D369" s="238"/>
      <c r="E369" s="238"/>
      <c r="F369" s="238"/>
      <c r="G369" s="238"/>
      <c r="H369" s="238"/>
      <c r="I369" s="238"/>
      <c r="J369" s="238"/>
      <c r="K369" s="238"/>
      <c r="L369" s="238"/>
      <c r="M369" s="238"/>
      <c r="N369" s="238"/>
      <c r="O369" s="238"/>
      <c r="P369" s="238"/>
      <c r="Q369" s="238"/>
      <c r="R369" s="238"/>
    </row>
    <row r="370" spans="1:18" x14ac:dyDescent="0.2">
      <c r="A370" s="238"/>
      <c r="B370" s="238"/>
      <c r="C370" s="238"/>
      <c r="D370" s="238"/>
      <c r="E370" s="238"/>
      <c r="F370" s="238"/>
      <c r="G370" s="238"/>
      <c r="H370" s="238"/>
      <c r="I370" s="238"/>
      <c r="J370" s="238"/>
      <c r="K370" s="238"/>
      <c r="L370" s="238"/>
      <c r="M370" s="238"/>
      <c r="N370" s="238"/>
      <c r="O370" s="238"/>
      <c r="P370" s="238"/>
      <c r="Q370" s="238"/>
      <c r="R370" s="238"/>
    </row>
    <row r="371" spans="1:18" x14ac:dyDescent="0.2">
      <c r="A371" s="238"/>
      <c r="B371" s="238"/>
      <c r="C371" s="238"/>
      <c r="D371" s="238"/>
      <c r="E371" s="238"/>
      <c r="F371" s="238"/>
      <c r="G371" s="238"/>
      <c r="H371" s="238"/>
      <c r="I371" s="238"/>
      <c r="J371" s="238"/>
      <c r="K371" s="238"/>
      <c r="L371" s="238"/>
      <c r="M371" s="238"/>
      <c r="N371" s="238"/>
      <c r="O371" s="238"/>
      <c r="P371" s="238"/>
      <c r="Q371" s="238"/>
      <c r="R371" s="238"/>
    </row>
    <row r="372" spans="1:18" x14ac:dyDescent="0.2">
      <c r="A372" s="238"/>
      <c r="B372" s="238"/>
      <c r="C372" s="238"/>
      <c r="D372" s="238"/>
      <c r="E372" s="238"/>
      <c r="F372" s="238"/>
      <c r="G372" s="238"/>
      <c r="H372" s="238"/>
      <c r="I372" s="238"/>
      <c r="J372" s="238"/>
      <c r="K372" s="238"/>
      <c r="L372" s="238"/>
      <c r="M372" s="238"/>
      <c r="N372" s="238"/>
      <c r="O372" s="238"/>
      <c r="P372" s="238"/>
      <c r="Q372" s="238"/>
      <c r="R372" s="238"/>
    </row>
    <row r="373" spans="1:18" x14ac:dyDescent="0.2">
      <c r="A373" s="238"/>
      <c r="B373" s="238"/>
      <c r="C373" s="238"/>
      <c r="D373" s="238"/>
      <c r="E373" s="238"/>
      <c r="F373" s="238"/>
      <c r="G373" s="238"/>
      <c r="H373" s="238"/>
      <c r="I373" s="238"/>
      <c r="J373" s="238"/>
      <c r="K373" s="238"/>
      <c r="L373" s="238"/>
      <c r="M373" s="238"/>
      <c r="N373" s="238"/>
      <c r="O373" s="238"/>
      <c r="P373" s="238"/>
      <c r="Q373" s="238"/>
      <c r="R373" s="238"/>
    </row>
    <row r="374" spans="1:18" x14ac:dyDescent="0.2">
      <c r="A374" s="238"/>
      <c r="B374" s="238"/>
      <c r="C374" s="238"/>
      <c r="D374" s="238"/>
      <c r="E374" s="238"/>
      <c r="F374" s="238"/>
      <c r="G374" s="238"/>
      <c r="H374" s="238"/>
      <c r="I374" s="238"/>
      <c r="J374" s="238"/>
      <c r="K374" s="238"/>
      <c r="L374" s="238"/>
      <c r="M374" s="238"/>
      <c r="N374" s="238"/>
      <c r="O374" s="238"/>
      <c r="P374" s="238"/>
      <c r="Q374" s="238"/>
      <c r="R374" s="238"/>
    </row>
    <row r="375" spans="1:18" x14ac:dyDescent="0.2">
      <c r="A375" s="238"/>
      <c r="B375" s="238"/>
      <c r="C375" s="238"/>
      <c r="D375" s="238"/>
      <c r="E375" s="238"/>
      <c r="F375" s="238"/>
      <c r="G375" s="238"/>
      <c r="H375" s="238"/>
      <c r="I375" s="238"/>
      <c r="J375" s="238"/>
      <c r="K375" s="238"/>
      <c r="L375" s="238"/>
      <c r="M375" s="238"/>
      <c r="N375" s="238"/>
      <c r="O375" s="238"/>
      <c r="P375" s="238"/>
      <c r="Q375" s="238"/>
      <c r="R375" s="238"/>
    </row>
    <row r="376" spans="1:18" x14ac:dyDescent="0.2">
      <c r="A376" s="238"/>
      <c r="B376" s="238"/>
      <c r="C376" s="238"/>
      <c r="D376" s="238"/>
      <c r="E376" s="238"/>
      <c r="F376" s="238"/>
      <c r="G376" s="238"/>
      <c r="H376" s="238"/>
      <c r="I376" s="238"/>
      <c r="J376" s="238"/>
      <c r="K376" s="238"/>
      <c r="L376" s="238"/>
      <c r="M376" s="238"/>
      <c r="N376" s="238"/>
      <c r="O376" s="238"/>
      <c r="P376" s="238"/>
      <c r="Q376" s="238"/>
      <c r="R376" s="238"/>
    </row>
    <row r="377" spans="1:18" x14ac:dyDescent="0.2">
      <c r="A377" s="238"/>
      <c r="B377" s="238"/>
      <c r="C377" s="238"/>
      <c r="D377" s="238"/>
      <c r="E377" s="238"/>
      <c r="F377" s="238"/>
      <c r="G377" s="238"/>
      <c r="H377" s="238"/>
      <c r="I377" s="238"/>
      <c r="J377" s="238"/>
      <c r="K377" s="238"/>
      <c r="L377" s="238"/>
      <c r="M377" s="238"/>
      <c r="N377" s="238"/>
      <c r="O377" s="238"/>
      <c r="P377" s="238"/>
      <c r="Q377" s="238"/>
      <c r="R377" s="238"/>
    </row>
    <row r="378" spans="1:18" x14ac:dyDescent="0.2">
      <c r="A378" s="238"/>
      <c r="B378" s="238"/>
      <c r="C378" s="238"/>
      <c r="D378" s="238"/>
      <c r="E378" s="238"/>
      <c r="F378" s="238"/>
      <c r="G378" s="238"/>
      <c r="H378" s="238"/>
      <c r="I378" s="238"/>
      <c r="J378" s="238"/>
      <c r="K378" s="238"/>
      <c r="L378" s="238"/>
      <c r="M378" s="238"/>
      <c r="N378" s="238"/>
      <c r="O378" s="238"/>
      <c r="P378" s="238"/>
      <c r="Q378" s="238"/>
      <c r="R378" s="238"/>
    </row>
    <row r="379" spans="1:18" x14ac:dyDescent="0.2">
      <c r="A379" s="238"/>
      <c r="B379" s="238"/>
      <c r="C379" s="238"/>
      <c r="D379" s="238"/>
      <c r="E379" s="238"/>
      <c r="F379" s="238"/>
      <c r="G379" s="238"/>
      <c r="H379" s="238"/>
      <c r="I379" s="238"/>
      <c r="J379" s="238"/>
      <c r="K379" s="238"/>
      <c r="L379" s="238"/>
      <c r="M379" s="238"/>
      <c r="N379" s="238"/>
      <c r="O379" s="238"/>
      <c r="P379" s="238"/>
      <c r="Q379" s="238"/>
      <c r="R379" s="238"/>
    </row>
    <row r="380" spans="1:18" x14ac:dyDescent="0.2">
      <c r="A380" s="238"/>
      <c r="B380" s="238"/>
      <c r="C380" s="238"/>
      <c r="D380" s="238"/>
      <c r="E380" s="238"/>
      <c r="F380" s="238"/>
      <c r="G380" s="238"/>
      <c r="H380" s="238"/>
      <c r="I380" s="238"/>
      <c r="J380" s="238"/>
      <c r="K380" s="238"/>
      <c r="L380" s="238"/>
      <c r="M380" s="238"/>
      <c r="N380" s="238"/>
      <c r="O380" s="238"/>
      <c r="P380" s="238"/>
      <c r="Q380" s="238"/>
      <c r="R380" s="238"/>
    </row>
    <row r="381" spans="1:18" x14ac:dyDescent="0.2">
      <c r="A381" s="238"/>
      <c r="B381" s="238"/>
      <c r="C381" s="238"/>
      <c r="D381" s="238"/>
      <c r="E381" s="238"/>
      <c r="F381" s="238"/>
      <c r="G381" s="238"/>
      <c r="H381" s="238"/>
      <c r="I381" s="238"/>
      <c r="J381" s="238"/>
      <c r="K381" s="238"/>
      <c r="L381" s="238"/>
      <c r="M381" s="238"/>
      <c r="N381" s="238"/>
      <c r="O381" s="238"/>
      <c r="P381" s="238"/>
      <c r="Q381" s="238"/>
      <c r="R381" s="238"/>
    </row>
    <row r="382" spans="1:18" x14ac:dyDescent="0.2">
      <c r="A382" s="238"/>
      <c r="B382" s="238"/>
      <c r="C382" s="238"/>
      <c r="D382" s="238"/>
      <c r="E382" s="238"/>
      <c r="F382" s="238"/>
      <c r="G382" s="238"/>
      <c r="H382" s="238"/>
      <c r="I382" s="238"/>
      <c r="J382" s="238"/>
      <c r="K382" s="238"/>
      <c r="L382" s="238"/>
      <c r="M382" s="238"/>
      <c r="N382" s="238"/>
      <c r="O382" s="238"/>
      <c r="P382" s="238"/>
      <c r="Q382" s="238"/>
      <c r="R382" s="238"/>
    </row>
    <row r="383" spans="1:18" x14ac:dyDescent="0.2">
      <c r="A383" s="238"/>
      <c r="B383" s="238"/>
      <c r="C383" s="238"/>
      <c r="D383" s="238"/>
      <c r="E383" s="238"/>
      <c r="F383" s="238"/>
      <c r="G383" s="238"/>
      <c r="H383" s="238"/>
      <c r="I383" s="238"/>
      <c r="J383" s="238"/>
      <c r="K383" s="238"/>
      <c r="L383" s="238"/>
      <c r="M383" s="238"/>
      <c r="N383" s="238"/>
      <c r="O383" s="238"/>
      <c r="P383" s="238"/>
      <c r="Q383" s="238"/>
      <c r="R383" s="238"/>
    </row>
    <row r="384" spans="1:18" x14ac:dyDescent="0.2">
      <c r="A384" s="238"/>
      <c r="B384" s="238"/>
      <c r="C384" s="238"/>
      <c r="D384" s="238"/>
      <c r="E384" s="238"/>
      <c r="F384" s="238"/>
      <c r="G384" s="238"/>
      <c r="H384" s="238"/>
      <c r="I384" s="238"/>
      <c r="J384" s="238"/>
      <c r="K384" s="238"/>
      <c r="L384" s="238"/>
      <c r="M384" s="238"/>
      <c r="N384" s="238"/>
      <c r="O384" s="238"/>
      <c r="P384" s="238"/>
      <c r="Q384" s="238"/>
      <c r="R384" s="238"/>
    </row>
    <row r="385" spans="1:18" x14ac:dyDescent="0.2">
      <c r="A385" s="238"/>
      <c r="B385" s="238"/>
      <c r="C385" s="238"/>
      <c r="D385" s="238"/>
      <c r="E385" s="238"/>
      <c r="F385" s="238"/>
      <c r="G385" s="238"/>
      <c r="H385" s="238"/>
      <c r="I385" s="238"/>
      <c r="J385" s="238"/>
      <c r="K385" s="238"/>
      <c r="L385" s="238"/>
      <c r="M385" s="238"/>
      <c r="N385" s="238"/>
      <c r="O385" s="238"/>
      <c r="P385" s="238"/>
      <c r="Q385" s="238"/>
      <c r="R385" s="238"/>
    </row>
    <row r="386" spans="1:18" x14ac:dyDescent="0.2">
      <c r="A386" s="238"/>
      <c r="B386" s="238"/>
      <c r="C386" s="238"/>
      <c r="D386" s="238"/>
      <c r="E386" s="238"/>
      <c r="F386" s="238"/>
      <c r="G386" s="238"/>
      <c r="H386" s="238"/>
      <c r="I386" s="238"/>
      <c r="J386" s="238"/>
      <c r="K386" s="238"/>
      <c r="L386" s="238"/>
      <c r="M386" s="238"/>
      <c r="N386" s="238"/>
      <c r="O386" s="238"/>
      <c r="P386" s="238"/>
      <c r="Q386" s="238"/>
      <c r="R386" s="238"/>
    </row>
    <row r="387" spans="1:18" x14ac:dyDescent="0.2">
      <c r="A387" s="238"/>
      <c r="B387" s="238"/>
      <c r="C387" s="238"/>
      <c r="D387" s="238"/>
      <c r="E387" s="238"/>
      <c r="F387" s="238"/>
      <c r="G387" s="238"/>
      <c r="H387" s="238"/>
      <c r="I387" s="238"/>
      <c r="J387" s="238"/>
      <c r="K387" s="238"/>
      <c r="L387" s="238"/>
      <c r="M387" s="238"/>
      <c r="N387" s="238"/>
      <c r="O387" s="238"/>
      <c r="P387" s="238"/>
      <c r="Q387" s="238"/>
      <c r="R387" s="238"/>
    </row>
    <row r="388" spans="1:18" x14ac:dyDescent="0.2">
      <c r="A388" s="238"/>
      <c r="B388" s="238"/>
      <c r="C388" s="238"/>
      <c r="D388" s="238"/>
      <c r="E388" s="238"/>
      <c r="F388" s="238"/>
      <c r="G388" s="238"/>
      <c r="H388" s="238"/>
      <c r="I388" s="238"/>
      <c r="J388" s="238"/>
      <c r="K388" s="238"/>
      <c r="L388" s="238"/>
      <c r="M388" s="238"/>
      <c r="N388" s="238"/>
      <c r="O388" s="238"/>
      <c r="P388" s="238"/>
      <c r="Q388" s="238"/>
      <c r="R388" s="238"/>
    </row>
    <row r="389" spans="1:18" x14ac:dyDescent="0.2">
      <c r="A389" s="238"/>
      <c r="B389" s="238"/>
      <c r="C389" s="238"/>
      <c r="D389" s="238"/>
      <c r="E389" s="238"/>
      <c r="F389" s="238"/>
      <c r="G389" s="238"/>
      <c r="H389" s="238"/>
      <c r="I389" s="238"/>
      <c r="J389" s="238"/>
      <c r="K389" s="238"/>
      <c r="L389" s="238"/>
      <c r="M389" s="238"/>
      <c r="N389" s="238"/>
      <c r="O389" s="238"/>
      <c r="P389" s="238"/>
      <c r="Q389" s="238"/>
      <c r="R389" s="238"/>
    </row>
    <row r="390" spans="1:18" x14ac:dyDescent="0.2">
      <c r="A390" s="238"/>
      <c r="B390" s="238"/>
      <c r="C390" s="238"/>
      <c r="D390" s="238"/>
      <c r="E390" s="238"/>
      <c r="F390" s="238"/>
      <c r="G390" s="238"/>
      <c r="H390" s="238"/>
      <c r="I390" s="238"/>
      <c r="J390" s="238"/>
      <c r="K390" s="238"/>
      <c r="L390" s="238"/>
      <c r="M390" s="238"/>
      <c r="N390" s="238"/>
      <c r="O390" s="238"/>
      <c r="P390" s="238"/>
      <c r="Q390" s="238"/>
      <c r="R390" s="238"/>
    </row>
    <row r="391" spans="1:18" x14ac:dyDescent="0.2">
      <c r="A391" s="238"/>
      <c r="B391" s="238"/>
      <c r="C391" s="238"/>
      <c r="D391" s="238"/>
      <c r="E391" s="238"/>
      <c r="F391" s="238"/>
      <c r="G391" s="238"/>
      <c r="H391" s="238"/>
      <c r="I391" s="238"/>
      <c r="J391" s="238"/>
      <c r="K391" s="238"/>
      <c r="L391" s="238"/>
      <c r="M391" s="238"/>
      <c r="N391" s="238"/>
      <c r="O391" s="238"/>
      <c r="P391" s="238"/>
      <c r="Q391" s="238"/>
      <c r="R391" s="238"/>
    </row>
    <row r="392" spans="1:18" x14ac:dyDescent="0.2">
      <c r="A392" s="238"/>
      <c r="B392" s="238"/>
      <c r="C392" s="238"/>
      <c r="D392" s="238"/>
      <c r="E392" s="238"/>
      <c r="F392" s="238"/>
      <c r="G392" s="238"/>
      <c r="H392" s="238"/>
      <c r="I392" s="238"/>
      <c r="J392" s="238"/>
      <c r="K392" s="238"/>
      <c r="L392" s="238"/>
      <c r="M392" s="238"/>
      <c r="N392" s="238"/>
      <c r="O392" s="238"/>
      <c r="P392" s="238"/>
      <c r="Q392" s="238"/>
      <c r="R392" s="238"/>
    </row>
    <row r="393" spans="1:18" x14ac:dyDescent="0.2">
      <c r="A393" s="238"/>
      <c r="B393" s="238"/>
      <c r="C393" s="238"/>
      <c r="D393" s="238"/>
      <c r="E393" s="238"/>
      <c r="F393" s="238"/>
      <c r="G393" s="238"/>
      <c r="H393" s="238"/>
      <c r="I393" s="238"/>
      <c r="J393" s="238"/>
      <c r="K393" s="238"/>
      <c r="L393" s="238"/>
      <c r="M393" s="238"/>
      <c r="N393" s="238"/>
      <c r="O393" s="238"/>
      <c r="P393" s="238"/>
      <c r="Q393" s="238"/>
      <c r="R393" s="238"/>
    </row>
    <row r="394" spans="1:18" x14ac:dyDescent="0.2">
      <c r="A394" s="238"/>
      <c r="B394" s="238"/>
      <c r="C394" s="238"/>
      <c r="D394" s="238"/>
      <c r="E394" s="238"/>
      <c r="F394" s="238"/>
      <c r="G394" s="238"/>
      <c r="H394" s="238"/>
      <c r="I394" s="238"/>
      <c r="J394" s="238"/>
      <c r="K394" s="238"/>
      <c r="L394" s="238"/>
      <c r="M394" s="238"/>
      <c r="N394" s="238"/>
      <c r="O394" s="238"/>
      <c r="P394" s="238"/>
      <c r="Q394" s="238"/>
      <c r="R394" s="238"/>
    </row>
    <row r="395" spans="1:18" x14ac:dyDescent="0.2">
      <c r="A395" s="238"/>
      <c r="B395" s="238"/>
      <c r="C395" s="238"/>
      <c r="D395" s="238"/>
      <c r="E395" s="238"/>
      <c r="F395" s="238"/>
      <c r="G395" s="238"/>
      <c r="H395" s="238"/>
      <c r="I395" s="238"/>
      <c r="J395" s="238"/>
      <c r="K395" s="238"/>
      <c r="L395" s="238"/>
      <c r="M395" s="238"/>
      <c r="N395" s="238"/>
      <c r="O395" s="238"/>
      <c r="P395" s="238"/>
      <c r="Q395" s="238"/>
      <c r="R395" s="238"/>
    </row>
    <row r="396" spans="1:18" x14ac:dyDescent="0.2">
      <c r="A396" s="238"/>
      <c r="B396" s="238"/>
      <c r="C396" s="238"/>
      <c r="D396" s="238"/>
      <c r="E396" s="238"/>
      <c r="F396" s="238"/>
      <c r="G396" s="238"/>
      <c r="H396" s="238"/>
      <c r="I396" s="238"/>
      <c r="J396" s="238"/>
      <c r="K396" s="238"/>
      <c r="L396" s="238"/>
      <c r="M396" s="238"/>
      <c r="N396" s="238"/>
      <c r="O396" s="238"/>
      <c r="P396" s="238"/>
      <c r="Q396" s="238"/>
      <c r="R396" s="238"/>
    </row>
    <row r="397" spans="1:18" x14ac:dyDescent="0.2">
      <c r="A397" s="238"/>
      <c r="B397" s="238"/>
      <c r="C397" s="238"/>
      <c r="D397" s="238"/>
      <c r="E397" s="238"/>
      <c r="F397" s="238"/>
      <c r="G397" s="238"/>
      <c r="H397" s="238"/>
      <c r="I397" s="238"/>
      <c r="J397" s="238"/>
      <c r="K397" s="238"/>
      <c r="L397" s="238"/>
      <c r="M397" s="238"/>
      <c r="N397" s="238"/>
      <c r="O397" s="238"/>
      <c r="P397" s="238"/>
      <c r="Q397" s="238"/>
      <c r="R397" s="238"/>
    </row>
    <row r="398" spans="1:18" x14ac:dyDescent="0.2">
      <c r="A398" s="238"/>
      <c r="B398" s="238"/>
      <c r="C398" s="238"/>
      <c r="D398" s="238"/>
      <c r="E398" s="238"/>
      <c r="F398" s="238"/>
      <c r="G398" s="238"/>
      <c r="H398" s="238"/>
      <c r="I398" s="238"/>
      <c r="J398" s="238"/>
      <c r="K398" s="238"/>
      <c r="L398" s="238"/>
      <c r="M398" s="238"/>
      <c r="N398" s="238"/>
      <c r="O398" s="238"/>
      <c r="P398" s="238"/>
      <c r="Q398" s="238"/>
      <c r="R398" s="238"/>
    </row>
    <row r="399" spans="1:18" x14ac:dyDescent="0.2">
      <c r="A399" s="238"/>
      <c r="B399" s="238"/>
      <c r="C399" s="238"/>
      <c r="D399" s="238"/>
      <c r="E399" s="238"/>
      <c r="F399" s="238"/>
      <c r="G399" s="238"/>
      <c r="H399" s="238"/>
      <c r="I399" s="238"/>
      <c r="J399" s="238"/>
      <c r="K399" s="238"/>
      <c r="L399" s="238"/>
      <c r="M399" s="238"/>
      <c r="N399" s="238"/>
      <c r="O399" s="238"/>
      <c r="P399" s="238"/>
      <c r="Q399" s="238"/>
      <c r="R399" s="238"/>
    </row>
    <row r="400" spans="1:18" x14ac:dyDescent="0.2">
      <c r="A400" s="238"/>
      <c r="B400" s="238"/>
      <c r="C400" s="238"/>
      <c r="D400" s="238"/>
      <c r="E400" s="238"/>
      <c r="F400" s="238"/>
      <c r="G400" s="238"/>
      <c r="H400" s="238"/>
      <c r="I400" s="238"/>
      <c r="J400" s="238"/>
      <c r="K400" s="238"/>
      <c r="L400" s="238"/>
      <c r="M400" s="238"/>
      <c r="N400" s="238"/>
      <c r="O400" s="238"/>
      <c r="P400" s="238"/>
      <c r="Q400" s="238"/>
      <c r="R400" s="238"/>
    </row>
    <row r="401" spans="1:18" x14ac:dyDescent="0.2">
      <c r="A401" s="238"/>
      <c r="B401" s="238"/>
      <c r="C401" s="238"/>
      <c r="D401" s="238"/>
      <c r="E401" s="238"/>
      <c r="F401" s="238"/>
      <c r="G401" s="238"/>
      <c r="H401" s="238"/>
      <c r="I401" s="238"/>
      <c r="J401" s="238"/>
      <c r="K401" s="238"/>
      <c r="L401" s="238"/>
      <c r="M401" s="238"/>
      <c r="N401" s="238"/>
      <c r="O401" s="238"/>
      <c r="P401" s="238"/>
      <c r="Q401" s="238"/>
      <c r="R401" s="238"/>
    </row>
    <row r="402" spans="1:18" x14ac:dyDescent="0.2">
      <c r="A402" s="238"/>
      <c r="B402" s="238"/>
      <c r="C402" s="238"/>
      <c r="D402" s="238"/>
      <c r="E402" s="238"/>
      <c r="F402" s="238"/>
      <c r="G402" s="238"/>
      <c r="H402" s="238"/>
      <c r="I402" s="238"/>
      <c r="J402" s="238"/>
      <c r="K402" s="238"/>
      <c r="L402" s="238"/>
      <c r="M402" s="238"/>
      <c r="N402" s="238"/>
      <c r="O402" s="238"/>
      <c r="P402" s="238"/>
      <c r="Q402" s="238"/>
      <c r="R402" s="238"/>
    </row>
    <row r="403" spans="1:18" x14ac:dyDescent="0.2">
      <c r="A403" s="238"/>
      <c r="B403" s="238"/>
      <c r="C403" s="238"/>
      <c r="D403" s="238"/>
      <c r="E403" s="238"/>
      <c r="F403" s="238"/>
      <c r="G403" s="238"/>
      <c r="H403" s="238"/>
      <c r="I403" s="238"/>
      <c r="J403" s="238"/>
      <c r="K403" s="238"/>
      <c r="L403" s="238"/>
      <c r="M403" s="238"/>
      <c r="N403" s="238"/>
      <c r="O403" s="238"/>
      <c r="P403" s="238"/>
      <c r="Q403" s="238"/>
      <c r="R403" s="238"/>
    </row>
  </sheetData>
  <sheetProtection password="CF62" sheet="1" objects="1" scenarios="1"/>
  <mergeCells count="20">
    <mergeCell ref="D40:F40"/>
    <mergeCell ref="G40:M40"/>
    <mergeCell ref="A1:Q1"/>
    <mergeCell ref="A2:N2"/>
    <mergeCell ref="A3:N3"/>
    <mergeCell ref="A4:N4"/>
    <mergeCell ref="A5:C5"/>
    <mergeCell ref="D5:M5"/>
    <mergeCell ref="A7:N7"/>
    <mergeCell ref="A18:N18"/>
    <mergeCell ref="A23:N23"/>
    <mergeCell ref="D31:I31"/>
    <mergeCell ref="C38:O38"/>
    <mergeCell ref="G57:I57"/>
    <mergeCell ref="G41:L41"/>
    <mergeCell ref="G42:M42"/>
    <mergeCell ref="G43:L43"/>
    <mergeCell ref="A47:N47"/>
    <mergeCell ref="A51:N51"/>
    <mergeCell ref="C52:N52"/>
  </mergeCells>
  <conditionalFormatting sqref="M50 J50 J54:J55 M54:M55 M20:M22 J36 M36 M30 J30 J28 M28 M26 J26 J20:J22">
    <cfRule type="cellIs" dxfId="8" priority="1" stopIfTrue="1" operator="lessThan">
      <formula>0</formula>
    </cfRule>
    <cfRule type="cellIs" dxfId="7" priority="2" stopIfTrue="1" operator="greaterThan">
      <formula>100</formula>
    </cfRule>
  </conditionalFormatting>
  <conditionalFormatting sqref="J53 M53">
    <cfRule type="cellIs" dxfId="6" priority="3" stopIfTrue="1" operator="lessThan">
      <formula>0</formula>
    </cfRule>
    <cfRule type="cellIs" dxfId="5" priority="4" stopIfTrue="1" operator="greaterThan">
      <formula>4</formula>
    </cfRule>
  </conditionalFormatting>
  <conditionalFormatting sqref="J44 M44">
    <cfRule type="cellIs" dxfId="4" priority="5" stopIfTrue="1" operator="lessThan">
      <formula>0</formula>
    </cfRule>
    <cfRule type="cellIs" dxfId="3" priority="6" stopIfTrue="1" operator="greaterThan">
      <formula>36</formula>
    </cfRule>
  </conditionalFormatting>
  <conditionalFormatting sqref="J45:J46 M45:M46">
    <cfRule type="cellIs" dxfId="2" priority="7" stopIfTrue="1" operator="lessThan">
      <formula>0</formula>
    </cfRule>
    <cfRule type="cellIs" dxfId="1" priority="8" stopIfTrue="1" operator="greaterThan">
      <formula>800</formula>
    </cfRule>
  </conditionalFormatting>
  <conditionalFormatting sqref="J8 M8 J12:J15 M12:M15">
    <cfRule type="cellIs" dxfId="0" priority="9" stopIfTrue="1" operator="lessThan">
      <formula>0</formula>
    </cfRule>
  </conditionalFormatting>
  <printOptions horizontalCentered="1"/>
  <pageMargins left="0.5" right="0.5" top="0.54" bottom="0.3" header="0.5" footer="0.25"/>
  <pageSetup orientation="portrait" horizontalDpi="300" verticalDpi="300" r:id="rId1"/>
  <headerFooter alignWithMargins="0">
    <oddFooter>&amp;L&amp;8© C-IDEA, The University of Oklahoma, 12/14/14</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8"/>
    <pageSetUpPr fitToPage="1"/>
  </sheetPr>
  <dimension ref="A1:AN254"/>
  <sheetViews>
    <sheetView showGridLines="0" zoomScaleNormal="100" workbookViewId="0">
      <selection activeCell="H10" sqref="H10:J10"/>
    </sheetView>
  </sheetViews>
  <sheetFormatPr defaultColWidth="9.140625" defaultRowHeight="12.75" x14ac:dyDescent="0.2"/>
  <cols>
    <col min="1" max="1" width="1.140625" style="2" customWidth="1"/>
    <col min="2" max="2" width="3.28515625" style="141" customWidth="1"/>
    <col min="3" max="3" width="17.5703125" style="141" customWidth="1"/>
    <col min="4" max="4" width="2.140625" style="141" customWidth="1"/>
    <col min="5" max="5" width="1.5703125" style="141" customWidth="1"/>
    <col min="6" max="6" width="37" style="141" customWidth="1"/>
    <col min="7" max="7" width="2.140625" style="141" customWidth="1"/>
    <col min="8" max="8" width="33.85546875" style="141" customWidth="1"/>
    <col min="9" max="9" width="4.42578125" style="141" customWidth="1"/>
    <col min="10" max="10" width="8.42578125" style="141" customWidth="1"/>
    <col min="11" max="11" width="4.42578125" style="238" customWidth="1"/>
    <col min="12" max="15" width="9.140625" style="238"/>
    <col min="16" max="16" width="9.140625" style="238" customWidth="1"/>
    <col min="17" max="40" width="9.140625" style="238"/>
    <col min="41" max="16384" width="9.140625" style="141"/>
  </cols>
  <sheetData>
    <row r="1" spans="2:16" ht="14.25" customHeight="1" x14ac:dyDescent="0.2">
      <c r="B1" s="356" t="s">
        <v>103</v>
      </c>
      <c r="C1" s="356"/>
      <c r="D1" s="356"/>
      <c r="E1" s="356"/>
      <c r="F1" s="356"/>
      <c r="G1" s="356"/>
      <c r="H1" s="356"/>
      <c r="I1" s="357"/>
      <c r="J1" s="357"/>
      <c r="K1" s="357"/>
      <c r="L1" s="247"/>
      <c r="M1" s="247"/>
      <c r="N1" s="247"/>
      <c r="O1" s="247"/>
      <c r="P1" s="247"/>
    </row>
    <row r="2" spans="2:16" ht="14.25" customHeight="1" x14ac:dyDescent="0.2">
      <c r="B2" s="356" t="s">
        <v>760</v>
      </c>
      <c r="C2" s="356"/>
      <c r="D2" s="356"/>
      <c r="E2" s="356"/>
      <c r="F2" s="356"/>
      <c r="G2" s="356"/>
      <c r="H2" s="356"/>
      <c r="I2" s="357"/>
      <c r="J2" s="357"/>
      <c r="K2" s="357"/>
      <c r="L2" s="247"/>
      <c r="M2" s="247"/>
      <c r="N2" s="248"/>
      <c r="O2" s="249"/>
      <c r="P2" s="247"/>
    </row>
    <row r="3" spans="2:16" ht="4.5" customHeight="1" x14ac:dyDescent="0.2">
      <c r="B3" s="173"/>
      <c r="C3" s="173"/>
      <c r="D3" s="173"/>
      <c r="E3" s="173"/>
      <c r="F3" s="173"/>
      <c r="G3" s="173"/>
      <c r="H3" s="173"/>
      <c r="I3" s="173"/>
      <c r="J3" s="173"/>
      <c r="K3" s="230"/>
      <c r="L3" s="247"/>
      <c r="M3" s="247"/>
      <c r="N3" s="250"/>
      <c r="O3" s="249"/>
      <c r="P3" s="247"/>
    </row>
    <row r="4" spans="2:16" ht="19.5" customHeight="1" x14ac:dyDescent="0.25">
      <c r="B4" s="173"/>
      <c r="C4" s="49" t="s">
        <v>69</v>
      </c>
      <c r="D4" s="49"/>
      <c r="E4" s="49"/>
      <c r="F4" s="314" t="s">
        <v>923</v>
      </c>
      <c r="G4" s="314"/>
      <c r="H4" s="358"/>
      <c r="I4" s="50"/>
      <c r="J4" s="50"/>
      <c r="K4" s="230"/>
      <c r="L4" s="247"/>
      <c r="M4" s="247"/>
      <c r="N4" s="251"/>
      <c r="O4" s="249"/>
      <c r="P4" s="247"/>
    </row>
    <row r="5" spans="2:16" ht="21.75" customHeight="1" x14ac:dyDescent="0.25">
      <c r="B5" s="173"/>
      <c r="C5" s="49" t="s">
        <v>84</v>
      </c>
      <c r="D5" s="49"/>
      <c r="E5" s="49"/>
      <c r="F5" s="359" t="s">
        <v>924</v>
      </c>
      <c r="G5" s="359"/>
      <c r="H5" s="360"/>
      <c r="I5" s="50"/>
      <c r="J5" s="50"/>
      <c r="K5" s="230"/>
      <c r="L5" s="247"/>
      <c r="M5" s="247"/>
      <c r="N5" s="250"/>
      <c r="O5" s="249"/>
      <c r="P5" s="247"/>
    </row>
    <row r="6" spans="2:16" ht="10.5" customHeight="1" thickBot="1" x14ac:dyDescent="0.25">
      <c r="B6" s="173"/>
      <c r="C6" s="48"/>
      <c r="D6" s="48"/>
      <c r="E6" s="48"/>
      <c r="F6" s="48"/>
      <c r="G6" s="48"/>
      <c r="H6" s="173"/>
      <c r="I6" s="173"/>
      <c r="J6" s="173"/>
      <c r="K6" s="230"/>
      <c r="L6" s="247"/>
      <c r="M6" s="247"/>
      <c r="N6" s="248"/>
      <c r="O6" s="249"/>
      <c r="P6" s="247"/>
    </row>
    <row r="7" spans="2:16" ht="84.75" customHeight="1" thickBot="1" x14ac:dyDescent="0.25">
      <c r="B7" s="363" t="s">
        <v>915</v>
      </c>
      <c r="C7" s="364"/>
      <c r="D7" s="364"/>
      <c r="E7" s="364"/>
      <c r="F7" s="364"/>
      <c r="G7" s="364"/>
      <c r="H7" s="364"/>
      <c r="I7" s="364"/>
      <c r="J7" s="365"/>
      <c r="K7" s="26"/>
      <c r="N7" s="248"/>
      <c r="O7" s="249"/>
    </row>
    <row r="8" spans="2:16" ht="9.6" customHeight="1" x14ac:dyDescent="0.2">
      <c r="B8" s="43"/>
      <c r="C8" s="44"/>
      <c r="D8" s="44"/>
      <c r="E8" s="44"/>
      <c r="F8" s="44"/>
      <c r="G8" s="44"/>
      <c r="H8" s="44"/>
      <c r="I8" s="44"/>
      <c r="J8" s="44"/>
      <c r="K8" s="26"/>
      <c r="N8" s="250"/>
      <c r="O8" s="249"/>
    </row>
    <row r="9" spans="2:16" ht="44.25" customHeight="1" x14ac:dyDescent="0.2">
      <c r="B9" s="46"/>
      <c r="C9" s="372" t="s">
        <v>754</v>
      </c>
      <c r="D9" s="373"/>
      <c r="E9" s="373"/>
      <c r="F9" s="374"/>
      <c r="G9" s="172"/>
      <c r="H9" s="375" t="s">
        <v>755</v>
      </c>
      <c r="I9" s="376"/>
      <c r="J9" s="377"/>
      <c r="K9" s="26"/>
      <c r="N9" s="248"/>
      <c r="O9" s="249"/>
    </row>
    <row r="10" spans="2:16" ht="45.75" customHeight="1" x14ac:dyDescent="0.2">
      <c r="B10" s="47" t="s">
        <v>19</v>
      </c>
      <c r="C10" s="366" t="s">
        <v>905</v>
      </c>
      <c r="D10" s="367"/>
      <c r="E10" s="367"/>
      <c r="F10" s="368"/>
      <c r="G10" s="45"/>
      <c r="H10" s="330"/>
      <c r="I10" s="331"/>
      <c r="J10" s="331"/>
      <c r="K10" s="26"/>
      <c r="N10" s="248"/>
      <c r="O10" s="249"/>
    </row>
    <row r="11" spans="2:16" ht="48" customHeight="1" x14ac:dyDescent="0.2">
      <c r="B11" s="47" t="s">
        <v>21</v>
      </c>
      <c r="C11" s="369" t="s">
        <v>906</v>
      </c>
      <c r="D11" s="370"/>
      <c r="E11" s="370"/>
      <c r="F11" s="371"/>
      <c r="G11" s="45"/>
      <c r="H11" s="330"/>
      <c r="I11" s="331"/>
      <c r="J11" s="331"/>
      <c r="K11" s="26"/>
      <c r="N11" s="248"/>
      <c r="O11" s="249"/>
    </row>
    <row r="12" spans="2:16" ht="99.75" customHeight="1" x14ac:dyDescent="0.2">
      <c r="B12" s="47" t="s">
        <v>31</v>
      </c>
      <c r="C12" s="327" t="s">
        <v>907</v>
      </c>
      <c r="D12" s="328"/>
      <c r="E12" s="328"/>
      <c r="F12" s="329"/>
      <c r="G12" s="45"/>
      <c r="H12" s="330"/>
      <c r="I12" s="331"/>
      <c r="J12" s="331"/>
      <c r="K12" s="26"/>
    </row>
    <row r="13" spans="2:16" ht="57.75" customHeight="1" x14ac:dyDescent="0.2">
      <c r="B13" s="47" t="s">
        <v>35</v>
      </c>
      <c r="C13" s="353" t="s">
        <v>908</v>
      </c>
      <c r="D13" s="354"/>
      <c r="E13" s="354"/>
      <c r="F13" s="355"/>
      <c r="G13" s="45"/>
      <c r="H13" s="330"/>
      <c r="I13" s="331"/>
      <c r="J13" s="331"/>
      <c r="K13" s="26"/>
    </row>
    <row r="14" spans="2:16" ht="45.75" customHeight="1" x14ac:dyDescent="0.2">
      <c r="B14" s="47" t="s">
        <v>71</v>
      </c>
      <c r="C14" s="344" t="s">
        <v>899</v>
      </c>
      <c r="D14" s="345"/>
      <c r="E14" s="345"/>
      <c r="F14" s="346"/>
      <c r="G14" s="45"/>
      <c r="H14" s="330"/>
      <c r="I14" s="331"/>
      <c r="J14" s="331"/>
      <c r="K14" s="26"/>
    </row>
    <row r="15" spans="2:16" ht="70.5" customHeight="1" x14ac:dyDescent="0.2">
      <c r="B15" s="47" t="s">
        <v>44</v>
      </c>
      <c r="C15" s="347" t="s">
        <v>909</v>
      </c>
      <c r="D15" s="348"/>
      <c r="E15" s="348"/>
      <c r="F15" s="349"/>
      <c r="G15" s="45"/>
      <c r="H15" s="330"/>
      <c r="I15" s="331"/>
      <c r="J15" s="331"/>
      <c r="K15" s="26"/>
    </row>
    <row r="16" spans="2:16" ht="45" customHeight="1" x14ac:dyDescent="0.2">
      <c r="B16" s="47" t="s">
        <v>88</v>
      </c>
      <c r="C16" s="350" t="s">
        <v>910</v>
      </c>
      <c r="D16" s="351"/>
      <c r="E16" s="351"/>
      <c r="F16" s="352"/>
      <c r="G16" s="45"/>
      <c r="H16" s="330"/>
      <c r="I16" s="331"/>
      <c r="J16" s="331"/>
      <c r="K16" s="26"/>
    </row>
    <row r="17" spans="1:11" ht="45.75" customHeight="1" x14ac:dyDescent="0.2">
      <c r="B17" s="47" t="s">
        <v>102</v>
      </c>
      <c r="C17" s="335" t="s">
        <v>913</v>
      </c>
      <c r="D17" s="336"/>
      <c r="E17" s="336"/>
      <c r="F17" s="337"/>
      <c r="G17" s="45"/>
      <c r="H17" s="338"/>
      <c r="I17" s="339"/>
      <c r="J17" s="340"/>
      <c r="K17" s="26"/>
    </row>
    <row r="18" spans="1:11" ht="22.5" customHeight="1" x14ac:dyDescent="0.2">
      <c r="B18" s="47" t="s">
        <v>107</v>
      </c>
      <c r="C18" s="332" t="s">
        <v>898</v>
      </c>
      <c r="D18" s="333"/>
      <c r="E18" s="333"/>
      <c r="F18" s="334"/>
      <c r="G18" s="45"/>
      <c r="H18" s="338"/>
      <c r="I18" s="378"/>
      <c r="J18" s="379"/>
      <c r="K18" s="26"/>
    </row>
    <row r="19" spans="1:11" ht="96.75" customHeight="1" x14ac:dyDescent="0.2">
      <c r="B19" s="47" t="s">
        <v>903</v>
      </c>
      <c r="C19" s="341" t="s">
        <v>916</v>
      </c>
      <c r="D19" s="342"/>
      <c r="E19" s="342"/>
      <c r="F19" s="343"/>
      <c r="G19" s="45"/>
      <c r="H19" s="330" t="s">
        <v>921</v>
      </c>
      <c r="I19" s="331"/>
      <c r="J19" s="331"/>
      <c r="K19" s="26"/>
    </row>
    <row r="20" spans="1:11" ht="6" customHeight="1" x14ac:dyDescent="0.2">
      <c r="B20" s="2"/>
      <c r="C20" s="2"/>
      <c r="D20" s="2"/>
      <c r="E20" s="2"/>
      <c r="F20" s="2"/>
      <c r="G20" s="2"/>
      <c r="H20" s="2"/>
      <c r="I20" s="2"/>
      <c r="J20" s="2"/>
      <c r="K20" s="26"/>
    </row>
    <row r="21" spans="1:11" ht="15" customHeight="1" x14ac:dyDescent="0.2">
      <c r="B21" s="361" t="s">
        <v>914</v>
      </c>
      <c r="C21" s="362"/>
      <c r="D21" s="362"/>
      <c r="E21" s="362"/>
      <c r="F21" s="362"/>
      <c r="G21" s="362"/>
      <c r="H21" s="362"/>
      <c r="I21" s="2"/>
      <c r="J21" s="2"/>
      <c r="K21" s="26"/>
    </row>
    <row r="22" spans="1:11" ht="15" customHeight="1" x14ac:dyDescent="0.2">
      <c r="B22" s="362"/>
      <c r="C22" s="362"/>
      <c r="D22" s="362"/>
      <c r="E22" s="362"/>
      <c r="F22" s="362"/>
      <c r="G22" s="362"/>
      <c r="H22" s="362"/>
      <c r="I22" s="2"/>
      <c r="J22" s="2"/>
      <c r="K22" s="26"/>
    </row>
    <row r="23" spans="1:11" ht="15" customHeight="1" x14ac:dyDescent="0.2">
      <c r="B23" s="362"/>
      <c r="C23" s="362"/>
      <c r="D23" s="362"/>
      <c r="E23" s="362"/>
      <c r="F23" s="362"/>
      <c r="G23" s="362"/>
      <c r="H23" s="362"/>
      <c r="I23" s="4"/>
      <c r="J23" s="2" t="s">
        <v>33</v>
      </c>
      <c r="K23" s="26"/>
    </row>
    <row r="24" spans="1:11" x14ac:dyDescent="0.2">
      <c r="B24" s="2"/>
      <c r="C24" s="2"/>
      <c r="D24" s="2"/>
      <c r="E24" s="2"/>
      <c r="F24" s="2"/>
      <c r="G24" s="2"/>
      <c r="H24" s="2"/>
      <c r="I24" s="2"/>
      <c r="J24" s="2"/>
      <c r="K24" s="26"/>
    </row>
    <row r="25" spans="1:11" x14ac:dyDescent="0.2">
      <c r="B25" s="2" t="s">
        <v>72</v>
      </c>
      <c r="C25" s="2"/>
      <c r="D25" s="2"/>
      <c r="E25" s="318" t="s">
        <v>922</v>
      </c>
      <c r="F25" s="319"/>
      <c r="G25" s="319"/>
      <c r="H25" s="319"/>
      <c r="I25" s="319"/>
      <c r="J25" s="320"/>
      <c r="K25" s="26"/>
    </row>
    <row r="26" spans="1:11" ht="9.75" customHeight="1" x14ac:dyDescent="0.2">
      <c r="B26" s="2"/>
      <c r="C26" s="2"/>
      <c r="D26" s="2"/>
      <c r="E26" s="321"/>
      <c r="F26" s="322"/>
      <c r="G26" s="322"/>
      <c r="H26" s="322"/>
      <c r="I26" s="322"/>
      <c r="J26" s="323"/>
      <c r="K26" s="26"/>
    </row>
    <row r="27" spans="1:11" ht="9.75" customHeight="1" x14ac:dyDescent="0.2">
      <c r="B27" s="2"/>
      <c r="C27" s="2"/>
      <c r="D27" s="2"/>
      <c r="E27" s="321"/>
      <c r="F27" s="322"/>
      <c r="G27" s="322"/>
      <c r="H27" s="322"/>
      <c r="I27" s="322"/>
      <c r="J27" s="323"/>
      <c r="K27" s="26"/>
    </row>
    <row r="28" spans="1:11" ht="9.6" customHeight="1" x14ac:dyDescent="0.2">
      <c r="B28" s="2"/>
      <c r="C28" s="2"/>
      <c r="D28" s="2"/>
      <c r="E28" s="324"/>
      <c r="F28" s="325"/>
      <c r="G28" s="325"/>
      <c r="H28" s="325"/>
      <c r="I28" s="325"/>
      <c r="J28" s="326"/>
      <c r="K28" s="26"/>
    </row>
    <row r="29" spans="1:11" x14ac:dyDescent="0.2">
      <c r="B29" s="2"/>
      <c r="C29" s="2"/>
      <c r="D29" s="2"/>
      <c r="E29" s="175"/>
      <c r="F29" s="175"/>
      <c r="G29" s="175"/>
      <c r="H29" s="175"/>
      <c r="I29" s="175"/>
      <c r="J29" s="175"/>
      <c r="K29" s="26"/>
    </row>
    <row r="30" spans="1:11" x14ac:dyDescent="0.2">
      <c r="A30" s="238"/>
      <c r="B30" s="238"/>
      <c r="C30" s="238"/>
      <c r="D30" s="238"/>
      <c r="E30" s="241"/>
      <c r="F30" s="241"/>
      <c r="G30" s="241"/>
      <c r="H30" s="241"/>
      <c r="I30" s="241"/>
      <c r="J30" s="241"/>
    </row>
    <row r="31" spans="1:11" x14ac:dyDescent="0.2">
      <c r="A31" s="238"/>
      <c r="B31" s="238"/>
      <c r="C31" s="238"/>
      <c r="D31" s="238"/>
      <c r="E31" s="238"/>
      <c r="F31" s="238"/>
      <c r="G31" s="238"/>
      <c r="H31" s="238"/>
      <c r="I31" s="238"/>
      <c r="J31" s="238"/>
    </row>
    <row r="32" spans="1:11" x14ac:dyDescent="0.2">
      <c r="A32" s="238"/>
      <c r="B32" s="238"/>
      <c r="C32" s="238"/>
      <c r="D32" s="238"/>
      <c r="E32" s="238"/>
      <c r="F32" s="238"/>
      <c r="G32" s="238"/>
      <c r="H32" s="238"/>
      <c r="I32" s="238"/>
      <c r="J32" s="238"/>
    </row>
    <row r="33" spans="1:10" x14ac:dyDescent="0.2">
      <c r="A33" s="238"/>
      <c r="B33" s="238"/>
      <c r="C33" s="238"/>
      <c r="D33" s="238"/>
      <c r="E33" s="238"/>
      <c r="F33" s="238"/>
      <c r="G33" s="238"/>
      <c r="H33" s="238"/>
      <c r="I33" s="238"/>
      <c r="J33" s="238"/>
    </row>
    <row r="34" spans="1:10" x14ac:dyDescent="0.2">
      <c r="A34" s="238"/>
      <c r="B34" s="238"/>
      <c r="C34" s="238"/>
      <c r="D34" s="238"/>
      <c r="E34" s="238"/>
      <c r="F34" s="238"/>
      <c r="G34" s="238"/>
      <c r="H34" s="238"/>
      <c r="I34" s="238"/>
      <c r="J34" s="238"/>
    </row>
    <row r="35" spans="1:10" x14ac:dyDescent="0.2">
      <c r="A35" s="238"/>
      <c r="B35" s="238"/>
      <c r="C35" s="238"/>
      <c r="D35" s="238"/>
      <c r="E35" s="238"/>
      <c r="F35" s="238"/>
      <c r="G35" s="238"/>
      <c r="H35" s="238"/>
      <c r="I35" s="238"/>
      <c r="J35" s="238"/>
    </row>
    <row r="36" spans="1:10" x14ac:dyDescent="0.2">
      <c r="A36" s="238"/>
      <c r="B36" s="238"/>
      <c r="C36" s="238"/>
      <c r="D36" s="238"/>
      <c r="E36" s="238"/>
      <c r="F36" s="238"/>
      <c r="G36" s="238"/>
      <c r="H36" s="238"/>
      <c r="I36" s="238"/>
      <c r="J36" s="238"/>
    </row>
    <row r="37" spans="1:10" x14ac:dyDescent="0.2">
      <c r="A37" s="238"/>
      <c r="B37" s="238"/>
      <c r="C37" s="238"/>
      <c r="D37" s="238"/>
      <c r="E37" s="238"/>
      <c r="F37" s="238"/>
      <c r="G37" s="238"/>
      <c r="H37" s="238"/>
      <c r="I37" s="238"/>
      <c r="J37" s="238"/>
    </row>
    <row r="38" spans="1:10" x14ac:dyDescent="0.2">
      <c r="A38" s="238"/>
      <c r="B38" s="238"/>
      <c r="C38" s="238"/>
      <c r="D38" s="238"/>
      <c r="E38" s="238"/>
      <c r="F38" s="238"/>
      <c r="G38" s="238"/>
      <c r="H38" s="238"/>
      <c r="I38" s="238"/>
      <c r="J38" s="238"/>
    </row>
    <row r="39" spans="1:10" x14ac:dyDescent="0.2">
      <c r="A39" s="238"/>
      <c r="B39" s="238"/>
      <c r="C39" s="238"/>
      <c r="D39" s="238"/>
      <c r="E39" s="238"/>
      <c r="F39" s="238"/>
      <c r="G39" s="238"/>
      <c r="H39" s="238"/>
      <c r="I39" s="238"/>
      <c r="J39" s="238"/>
    </row>
    <row r="40" spans="1:10" x14ac:dyDescent="0.2">
      <c r="A40" s="238"/>
      <c r="B40" s="238"/>
      <c r="C40" s="238"/>
      <c r="D40" s="238"/>
      <c r="E40" s="238"/>
      <c r="F40" s="238"/>
      <c r="G40" s="238"/>
      <c r="H40" s="238"/>
      <c r="I40" s="238"/>
      <c r="J40" s="238"/>
    </row>
    <row r="41" spans="1:10" x14ac:dyDescent="0.2">
      <c r="A41" s="238"/>
      <c r="B41" s="238"/>
      <c r="C41" s="238"/>
      <c r="D41" s="238"/>
      <c r="E41" s="238"/>
      <c r="F41" s="238"/>
      <c r="G41" s="238"/>
      <c r="H41" s="238"/>
      <c r="I41" s="238"/>
      <c r="J41" s="238"/>
    </row>
    <row r="42" spans="1:10" x14ac:dyDescent="0.2">
      <c r="A42" s="238"/>
      <c r="B42" s="238"/>
      <c r="C42" s="238"/>
      <c r="D42" s="238"/>
      <c r="E42" s="238"/>
      <c r="F42" s="238"/>
      <c r="G42" s="238"/>
      <c r="H42" s="238"/>
      <c r="I42" s="238"/>
      <c r="J42" s="238"/>
    </row>
    <row r="43" spans="1:10" x14ac:dyDescent="0.2">
      <c r="A43" s="238"/>
      <c r="B43" s="238"/>
      <c r="C43" s="238"/>
      <c r="D43" s="238"/>
      <c r="E43" s="238"/>
      <c r="F43" s="238"/>
      <c r="G43" s="238"/>
      <c r="H43" s="238"/>
      <c r="I43" s="238"/>
      <c r="J43" s="238"/>
    </row>
    <row r="44" spans="1:10" x14ac:dyDescent="0.2">
      <c r="A44" s="238"/>
      <c r="B44" s="238"/>
      <c r="C44" s="238"/>
      <c r="D44" s="238"/>
      <c r="E44" s="238"/>
      <c r="F44" s="238"/>
      <c r="G44" s="238"/>
      <c r="H44" s="238"/>
      <c r="I44" s="238"/>
      <c r="J44" s="238"/>
    </row>
    <row r="45" spans="1:10" x14ac:dyDescent="0.2">
      <c r="A45" s="238"/>
      <c r="B45" s="238"/>
      <c r="C45" s="238"/>
      <c r="D45" s="238"/>
      <c r="E45" s="238"/>
      <c r="F45" s="238"/>
      <c r="G45" s="238"/>
      <c r="H45" s="238"/>
      <c r="I45" s="238"/>
      <c r="J45" s="238"/>
    </row>
    <row r="46" spans="1:10" x14ac:dyDescent="0.2">
      <c r="A46" s="238"/>
      <c r="B46" s="238"/>
      <c r="C46" s="238"/>
      <c r="D46" s="238"/>
      <c r="E46" s="238"/>
      <c r="F46" s="238"/>
      <c r="G46" s="238"/>
      <c r="H46" s="238"/>
      <c r="I46" s="238"/>
      <c r="J46" s="238"/>
    </row>
    <row r="47" spans="1:10" x14ac:dyDescent="0.2">
      <c r="A47" s="238"/>
      <c r="B47" s="238"/>
      <c r="C47" s="238"/>
      <c r="D47" s="238"/>
      <c r="E47" s="238"/>
      <c r="F47" s="238"/>
      <c r="G47" s="238"/>
      <c r="H47" s="238"/>
      <c r="I47" s="238"/>
      <c r="J47" s="238"/>
    </row>
    <row r="48" spans="1:10" x14ac:dyDescent="0.2">
      <c r="A48" s="238"/>
      <c r="B48" s="238"/>
      <c r="C48" s="238"/>
      <c r="D48" s="238"/>
      <c r="E48" s="238"/>
      <c r="F48" s="238"/>
      <c r="G48" s="238"/>
      <c r="H48" s="238"/>
      <c r="I48" s="238"/>
      <c r="J48" s="238"/>
    </row>
    <row r="49" spans="1:10" x14ac:dyDescent="0.2">
      <c r="A49" s="238"/>
      <c r="B49" s="238"/>
      <c r="C49" s="238"/>
      <c r="D49" s="238"/>
      <c r="E49" s="238"/>
      <c r="F49" s="238"/>
      <c r="G49" s="238"/>
      <c r="H49" s="238"/>
      <c r="I49" s="238"/>
      <c r="J49" s="238"/>
    </row>
    <row r="50" spans="1:10" x14ac:dyDescent="0.2">
      <c r="A50" s="238"/>
      <c r="B50" s="238"/>
      <c r="C50" s="238"/>
      <c r="D50" s="238"/>
      <c r="E50" s="238"/>
      <c r="F50" s="238"/>
      <c r="G50" s="238"/>
      <c r="H50" s="238"/>
      <c r="I50" s="238"/>
      <c r="J50" s="238"/>
    </row>
    <row r="51" spans="1:10" x14ac:dyDescent="0.2">
      <c r="A51" s="238"/>
      <c r="B51" s="238"/>
      <c r="C51" s="238"/>
      <c r="D51" s="238"/>
      <c r="E51" s="238"/>
      <c r="F51" s="238"/>
      <c r="G51" s="238"/>
      <c r="H51" s="238"/>
      <c r="I51" s="238"/>
      <c r="J51" s="238"/>
    </row>
    <row r="52" spans="1:10" x14ac:dyDescent="0.2">
      <c r="A52" s="238"/>
      <c r="B52" s="238"/>
      <c r="C52" s="238"/>
      <c r="D52" s="238"/>
      <c r="E52" s="238"/>
      <c r="F52" s="238"/>
      <c r="G52" s="238"/>
      <c r="H52" s="238"/>
      <c r="I52" s="238"/>
      <c r="J52" s="238"/>
    </row>
    <row r="53" spans="1:10" x14ac:dyDescent="0.2">
      <c r="A53" s="238"/>
      <c r="B53" s="238"/>
      <c r="C53" s="238"/>
      <c r="D53" s="238"/>
      <c r="E53" s="238"/>
      <c r="F53" s="238"/>
      <c r="G53" s="238"/>
      <c r="H53" s="238"/>
      <c r="I53" s="238"/>
      <c r="J53" s="238"/>
    </row>
    <row r="54" spans="1:10" x14ac:dyDescent="0.2">
      <c r="A54" s="238"/>
      <c r="B54" s="238"/>
      <c r="C54" s="238"/>
      <c r="D54" s="238"/>
      <c r="E54" s="238"/>
      <c r="F54" s="238"/>
      <c r="G54" s="238"/>
      <c r="H54" s="238"/>
      <c r="I54" s="238"/>
      <c r="J54" s="238"/>
    </row>
    <row r="55" spans="1:10" x14ac:dyDescent="0.2">
      <c r="A55" s="238"/>
      <c r="B55" s="238"/>
      <c r="C55" s="238"/>
      <c r="D55" s="238"/>
      <c r="E55" s="238"/>
      <c r="F55" s="238"/>
      <c r="G55" s="238"/>
      <c r="H55" s="238"/>
      <c r="I55" s="238"/>
      <c r="J55" s="238"/>
    </row>
    <row r="56" spans="1:10" x14ac:dyDescent="0.2">
      <c r="A56" s="238"/>
      <c r="B56" s="238"/>
      <c r="C56" s="238"/>
      <c r="D56" s="238"/>
      <c r="E56" s="238"/>
      <c r="F56" s="238"/>
      <c r="G56" s="238"/>
      <c r="H56" s="238"/>
      <c r="I56" s="238"/>
      <c r="J56" s="238"/>
    </row>
    <row r="57" spans="1:10" x14ac:dyDescent="0.2">
      <c r="A57" s="238"/>
      <c r="B57" s="238"/>
      <c r="C57" s="238"/>
      <c r="D57" s="238"/>
      <c r="E57" s="238"/>
      <c r="F57" s="238"/>
      <c r="G57" s="238"/>
      <c r="H57" s="238"/>
      <c r="I57" s="238"/>
      <c r="J57" s="238"/>
    </row>
    <row r="58" spans="1:10" x14ac:dyDescent="0.2">
      <c r="A58" s="238"/>
      <c r="B58" s="238"/>
      <c r="C58" s="238"/>
      <c r="D58" s="238"/>
      <c r="E58" s="238"/>
      <c r="F58" s="238"/>
      <c r="G58" s="238"/>
      <c r="H58" s="238"/>
      <c r="I58" s="238"/>
      <c r="J58" s="238"/>
    </row>
    <row r="59" spans="1:10" x14ac:dyDescent="0.2">
      <c r="A59" s="238"/>
      <c r="B59" s="238"/>
      <c r="C59" s="238"/>
      <c r="D59" s="238"/>
      <c r="E59" s="238"/>
      <c r="F59" s="238"/>
      <c r="G59" s="238"/>
      <c r="H59" s="238"/>
      <c r="I59" s="238"/>
      <c r="J59" s="238"/>
    </row>
    <row r="60" spans="1:10" x14ac:dyDescent="0.2">
      <c r="A60" s="238"/>
      <c r="B60" s="238"/>
      <c r="C60" s="238"/>
      <c r="D60" s="238"/>
      <c r="E60" s="238"/>
      <c r="F60" s="238"/>
      <c r="G60" s="238"/>
      <c r="H60" s="238"/>
      <c r="I60" s="238"/>
      <c r="J60" s="238"/>
    </row>
    <row r="61" spans="1:10" x14ac:dyDescent="0.2">
      <c r="A61" s="238"/>
      <c r="B61" s="238"/>
      <c r="C61" s="238"/>
      <c r="D61" s="238"/>
      <c r="E61" s="238"/>
      <c r="F61" s="238"/>
      <c r="G61" s="238"/>
      <c r="H61" s="238"/>
      <c r="I61" s="238"/>
      <c r="J61" s="238"/>
    </row>
    <row r="62" spans="1:10" x14ac:dyDescent="0.2">
      <c r="A62" s="238"/>
      <c r="B62" s="238"/>
      <c r="C62" s="238"/>
      <c r="D62" s="238"/>
      <c r="E62" s="238"/>
      <c r="F62" s="238"/>
      <c r="G62" s="238"/>
      <c r="H62" s="238"/>
      <c r="I62" s="238"/>
      <c r="J62" s="238"/>
    </row>
    <row r="63" spans="1:10" x14ac:dyDescent="0.2">
      <c r="A63" s="238"/>
      <c r="B63" s="238"/>
      <c r="C63" s="238"/>
      <c r="D63" s="238"/>
      <c r="E63" s="238"/>
      <c r="F63" s="238"/>
      <c r="G63" s="238"/>
      <c r="H63" s="238"/>
      <c r="I63" s="238"/>
      <c r="J63" s="238"/>
    </row>
    <row r="64" spans="1:10" x14ac:dyDescent="0.2">
      <c r="A64" s="238"/>
      <c r="B64" s="238"/>
      <c r="C64" s="238"/>
      <c r="D64" s="238"/>
      <c r="E64" s="238"/>
      <c r="F64" s="238"/>
      <c r="G64" s="238"/>
      <c r="H64" s="238"/>
      <c r="I64" s="238"/>
      <c r="J64" s="238"/>
    </row>
    <row r="65" spans="1:10" x14ac:dyDescent="0.2">
      <c r="A65" s="238"/>
      <c r="B65" s="238"/>
      <c r="C65" s="238"/>
      <c r="D65" s="238"/>
      <c r="E65" s="238"/>
      <c r="F65" s="238"/>
      <c r="G65" s="238"/>
      <c r="H65" s="238"/>
      <c r="I65" s="238"/>
      <c r="J65" s="238"/>
    </row>
    <row r="66" spans="1:10" x14ac:dyDescent="0.2">
      <c r="A66" s="238"/>
      <c r="B66" s="238"/>
      <c r="C66" s="238"/>
      <c r="D66" s="238"/>
      <c r="E66" s="238"/>
      <c r="F66" s="238"/>
      <c r="G66" s="238"/>
      <c r="H66" s="238"/>
      <c r="I66" s="238"/>
      <c r="J66" s="238"/>
    </row>
    <row r="67" spans="1:10" x14ac:dyDescent="0.2">
      <c r="A67" s="238"/>
      <c r="B67" s="238"/>
      <c r="C67" s="238"/>
      <c r="D67" s="238"/>
      <c r="E67" s="238"/>
      <c r="F67" s="238"/>
      <c r="G67" s="238"/>
      <c r="H67" s="238"/>
      <c r="I67" s="238"/>
      <c r="J67" s="238"/>
    </row>
    <row r="68" spans="1:10" x14ac:dyDescent="0.2">
      <c r="A68" s="238"/>
      <c r="B68" s="238"/>
      <c r="C68" s="238"/>
      <c r="D68" s="238"/>
      <c r="E68" s="238"/>
      <c r="F68" s="238"/>
      <c r="G68" s="238"/>
      <c r="H68" s="238"/>
      <c r="I68" s="238"/>
      <c r="J68" s="238"/>
    </row>
    <row r="69" spans="1:10" x14ac:dyDescent="0.2">
      <c r="A69" s="238"/>
      <c r="B69" s="238"/>
      <c r="C69" s="238"/>
      <c r="D69" s="238"/>
      <c r="E69" s="238"/>
      <c r="F69" s="238"/>
      <c r="G69" s="238"/>
      <c r="H69" s="238"/>
      <c r="I69" s="238"/>
      <c r="J69" s="238"/>
    </row>
    <row r="70" spans="1:10" x14ac:dyDescent="0.2">
      <c r="A70" s="238"/>
      <c r="B70" s="238"/>
      <c r="C70" s="238"/>
      <c r="D70" s="238"/>
      <c r="E70" s="238"/>
      <c r="F70" s="238"/>
      <c r="G70" s="238"/>
      <c r="H70" s="238"/>
      <c r="I70" s="238"/>
      <c r="J70" s="238"/>
    </row>
    <row r="71" spans="1:10" x14ac:dyDescent="0.2">
      <c r="A71" s="238"/>
      <c r="B71" s="238"/>
      <c r="C71" s="238"/>
      <c r="D71" s="238"/>
      <c r="E71" s="238"/>
      <c r="F71" s="238"/>
      <c r="G71" s="238"/>
      <c r="H71" s="238"/>
      <c r="I71" s="238"/>
      <c r="J71" s="238"/>
    </row>
    <row r="72" spans="1:10" x14ac:dyDescent="0.2">
      <c r="A72" s="238"/>
      <c r="B72" s="238"/>
      <c r="C72" s="238"/>
      <c r="D72" s="238"/>
      <c r="E72" s="238"/>
      <c r="F72" s="238"/>
      <c r="G72" s="238"/>
      <c r="H72" s="238"/>
      <c r="I72" s="238"/>
      <c r="J72" s="238"/>
    </row>
    <row r="73" spans="1:10" x14ac:dyDescent="0.2">
      <c r="A73" s="238"/>
      <c r="B73" s="238"/>
      <c r="C73" s="238"/>
      <c r="D73" s="238"/>
      <c r="E73" s="238"/>
      <c r="F73" s="238"/>
      <c r="G73" s="238"/>
      <c r="H73" s="238"/>
      <c r="I73" s="238"/>
      <c r="J73" s="238"/>
    </row>
    <row r="74" spans="1:10" x14ac:dyDescent="0.2">
      <c r="A74" s="238"/>
      <c r="B74" s="238"/>
      <c r="C74" s="238"/>
      <c r="D74" s="238"/>
      <c r="E74" s="238"/>
      <c r="F74" s="238"/>
      <c r="G74" s="238"/>
      <c r="H74" s="238"/>
      <c r="I74" s="238"/>
      <c r="J74" s="238"/>
    </row>
    <row r="75" spans="1:10" x14ac:dyDescent="0.2">
      <c r="A75" s="238"/>
      <c r="B75" s="238"/>
      <c r="C75" s="238"/>
      <c r="D75" s="238"/>
      <c r="E75" s="238"/>
      <c r="F75" s="238"/>
      <c r="G75" s="238"/>
      <c r="H75" s="238"/>
      <c r="I75" s="238"/>
      <c r="J75" s="238"/>
    </row>
    <row r="76" spans="1:10" x14ac:dyDescent="0.2">
      <c r="A76" s="238"/>
      <c r="B76" s="238"/>
      <c r="C76" s="238"/>
      <c r="D76" s="238"/>
      <c r="E76" s="238"/>
      <c r="F76" s="238"/>
      <c r="G76" s="238"/>
      <c r="H76" s="238"/>
      <c r="I76" s="238"/>
      <c r="J76" s="238"/>
    </row>
    <row r="77" spans="1:10" x14ac:dyDescent="0.2">
      <c r="A77" s="238"/>
      <c r="B77" s="238"/>
      <c r="C77" s="238"/>
      <c r="D77" s="238"/>
      <c r="E77" s="238"/>
      <c r="F77" s="238"/>
      <c r="G77" s="238"/>
      <c r="H77" s="238"/>
      <c r="I77" s="238"/>
      <c r="J77" s="238"/>
    </row>
    <row r="78" spans="1:10" x14ac:dyDescent="0.2">
      <c r="A78" s="238"/>
      <c r="B78" s="238"/>
      <c r="C78" s="238"/>
      <c r="D78" s="238"/>
      <c r="E78" s="238"/>
      <c r="F78" s="238"/>
      <c r="G78" s="238"/>
      <c r="H78" s="238"/>
      <c r="I78" s="238"/>
      <c r="J78" s="238"/>
    </row>
    <row r="79" spans="1:10" x14ac:dyDescent="0.2">
      <c r="A79" s="238"/>
      <c r="B79" s="238"/>
      <c r="C79" s="238"/>
      <c r="D79" s="238"/>
      <c r="E79" s="238"/>
      <c r="F79" s="238"/>
      <c r="G79" s="238"/>
      <c r="H79" s="238"/>
      <c r="I79" s="238"/>
      <c r="J79" s="238"/>
    </row>
    <row r="80" spans="1:10" x14ac:dyDescent="0.2">
      <c r="A80" s="238"/>
      <c r="B80" s="238"/>
      <c r="C80" s="238"/>
      <c r="D80" s="238"/>
      <c r="E80" s="238"/>
      <c r="F80" s="238"/>
      <c r="G80" s="238"/>
      <c r="H80" s="238"/>
      <c r="I80" s="238"/>
      <c r="J80" s="238"/>
    </row>
    <row r="81" spans="1:10" x14ac:dyDescent="0.2">
      <c r="A81" s="238"/>
      <c r="B81" s="238"/>
      <c r="C81" s="238"/>
      <c r="D81" s="238"/>
      <c r="E81" s="238"/>
      <c r="F81" s="238"/>
      <c r="G81" s="238"/>
      <c r="H81" s="238"/>
      <c r="I81" s="238"/>
      <c r="J81" s="238"/>
    </row>
    <row r="82" spans="1:10" x14ac:dyDescent="0.2">
      <c r="A82" s="238"/>
      <c r="B82" s="238"/>
      <c r="C82" s="238"/>
      <c r="D82" s="238"/>
      <c r="E82" s="238"/>
      <c r="F82" s="238"/>
      <c r="G82" s="238"/>
      <c r="H82" s="238"/>
      <c r="I82" s="238"/>
      <c r="J82" s="238"/>
    </row>
    <row r="83" spans="1:10" x14ac:dyDescent="0.2">
      <c r="A83" s="238"/>
      <c r="B83" s="238"/>
      <c r="C83" s="238"/>
      <c r="D83" s="238"/>
      <c r="E83" s="238"/>
      <c r="F83" s="238"/>
      <c r="G83" s="238"/>
      <c r="H83" s="238"/>
      <c r="I83" s="238"/>
      <c r="J83" s="238"/>
    </row>
    <row r="84" spans="1:10" x14ac:dyDescent="0.2">
      <c r="A84" s="238"/>
      <c r="B84" s="238"/>
      <c r="C84" s="238"/>
      <c r="D84" s="238"/>
      <c r="E84" s="238"/>
      <c r="F84" s="238"/>
      <c r="G84" s="238"/>
      <c r="H84" s="238"/>
      <c r="I84" s="238"/>
      <c r="J84" s="238"/>
    </row>
    <row r="85" spans="1:10" x14ac:dyDescent="0.2">
      <c r="A85" s="238"/>
      <c r="B85" s="238"/>
      <c r="C85" s="238"/>
      <c r="D85" s="238"/>
      <c r="E85" s="238"/>
      <c r="F85" s="238"/>
      <c r="G85" s="238"/>
      <c r="H85" s="238"/>
      <c r="I85" s="238"/>
      <c r="J85" s="238"/>
    </row>
    <row r="86" spans="1:10" x14ac:dyDescent="0.2">
      <c r="A86" s="238"/>
      <c r="B86" s="238"/>
      <c r="C86" s="238"/>
      <c r="D86" s="238"/>
      <c r="E86" s="238"/>
      <c r="F86" s="238"/>
      <c r="G86" s="238"/>
      <c r="H86" s="238"/>
      <c r="I86" s="238"/>
      <c r="J86" s="238"/>
    </row>
    <row r="87" spans="1:10" x14ac:dyDescent="0.2">
      <c r="A87" s="238"/>
      <c r="B87" s="238"/>
      <c r="C87" s="238"/>
      <c r="D87" s="238"/>
      <c r="E87" s="238"/>
      <c r="F87" s="238"/>
      <c r="G87" s="238"/>
      <c r="H87" s="238"/>
      <c r="I87" s="238"/>
      <c r="J87" s="238"/>
    </row>
    <row r="88" spans="1:10" x14ac:dyDescent="0.2">
      <c r="A88" s="238"/>
      <c r="B88" s="238"/>
      <c r="C88" s="238"/>
      <c r="D88" s="238"/>
      <c r="E88" s="238"/>
      <c r="F88" s="238"/>
      <c r="G88" s="238"/>
      <c r="H88" s="238"/>
      <c r="I88" s="238"/>
      <c r="J88" s="238"/>
    </row>
    <row r="89" spans="1:10" x14ac:dyDescent="0.2">
      <c r="A89" s="238"/>
      <c r="B89" s="238"/>
      <c r="C89" s="238"/>
      <c r="D89" s="238"/>
      <c r="E89" s="238"/>
      <c r="F89" s="238"/>
      <c r="G89" s="238"/>
      <c r="H89" s="238"/>
      <c r="I89" s="238"/>
      <c r="J89" s="238"/>
    </row>
    <row r="90" spans="1:10" x14ac:dyDescent="0.2">
      <c r="A90" s="238"/>
      <c r="B90" s="238"/>
      <c r="C90" s="238"/>
      <c r="D90" s="238"/>
      <c r="E90" s="238"/>
      <c r="F90" s="238"/>
      <c r="G90" s="238"/>
      <c r="H90" s="238"/>
      <c r="I90" s="238"/>
      <c r="J90" s="238"/>
    </row>
    <row r="91" spans="1:10" x14ac:dyDescent="0.2">
      <c r="A91" s="238"/>
      <c r="B91" s="238"/>
      <c r="C91" s="238"/>
      <c r="D91" s="238"/>
      <c r="E91" s="238"/>
      <c r="F91" s="238"/>
      <c r="G91" s="238"/>
      <c r="H91" s="238"/>
      <c r="I91" s="238"/>
      <c r="J91" s="238"/>
    </row>
    <row r="92" spans="1:10" x14ac:dyDescent="0.2">
      <c r="A92" s="238"/>
      <c r="B92" s="238"/>
      <c r="C92" s="238"/>
      <c r="D92" s="238"/>
      <c r="E92" s="238"/>
      <c r="F92" s="238"/>
      <c r="G92" s="238"/>
      <c r="H92" s="238"/>
      <c r="I92" s="238"/>
      <c r="J92" s="238"/>
    </row>
    <row r="93" spans="1:10" x14ac:dyDescent="0.2">
      <c r="A93" s="238"/>
      <c r="B93" s="238"/>
      <c r="C93" s="238"/>
      <c r="D93" s="238"/>
      <c r="E93" s="238"/>
      <c r="F93" s="238"/>
      <c r="G93" s="238"/>
      <c r="H93" s="238"/>
      <c r="I93" s="238"/>
      <c r="J93" s="238"/>
    </row>
    <row r="94" spans="1:10" x14ac:dyDescent="0.2">
      <c r="A94" s="238"/>
      <c r="B94" s="238"/>
      <c r="C94" s="238"/>
      <c r="D94" s="238"/>
      <c r="E94" s="238"/>
      <c r="F94" s="238"/>
      <c r="G94" s="238"/>
      <c r="H94" s="238"/>
      <c r="I94" s="238"/>
      <c r="J94" s="238"/>
    </row>
    <row r="95" spans="1:10" x14ac:dyDescent="0.2">
      <c r="A95" s="238"/>
      <c r="B95" s="238"/>
      <c r="C95" s="238"/>
      <c r="D95" s="238"/>
      <c r="E95" s="238"/>
      <c r="F95" s="238"/>
      <c r="G95" s="238"/>
      <c r="H95" s="238"/>
      <c r="I95" s="238"/>
      <c r="J95" s="238"/>
    </row>
    <row r="96" spans="1:10" x14ac:dyDescent="0.2">
      <c r="A96" s="238"/>
      <c r="B96" s="238"/>
      <c r="C96" s="238"/>
      <c r="D96" s="238"/>
      <c r="E96" s="238"/>
      <c r="F96" s="238"/>
      <c r="G96" s="238"/>
      <c r="H96" s="238"/>
      <c r="I96" s="238"/>
      <c r="J96" s="238"/>
    </row>
    <row r="97" spans="1:10" x14ac:dyDescent="0.2">
      <c r="A97" s="238"/>
      <c r="B97" s="238"/>
      <c r="C97" s="238"/>
      <c r="D97" s="238"/>
      <c r="E97" s="238"/>
      <c r="F97" s="238"/>
      <c r="G97" s="238"/>
      <c r="H97" s="238"/>
      <c r="I97" s="238"/>
      <c r="J97" s="238"/>
    </row>
    <row r="98" spans="1:10" x14ac:dyDescent="0.2">
      <c r="A98" s="238"/>
      <c r="B98" s="238"/>
      <c r="C98" s="238"/>
      <c r="D98" s="238"/>
      <c r="E98" s="238"/>
      <c r="F98" s="238"/>
      <c r="G98" s="238"/>
      <c r="H98" s="238"/>
      <c r="I98" s="238"/>
      <c r="J98" s="238"/>
    </row>
    <row r="99" spans="1:10" x14ac:dyDescent="0.2">
      <c r="A99" s="238"/>
      <c r="B99" s="238"/>
      <c r="C99" s="238"/>
      <c r="D99" s="238"/>
      <c r="E99" s="238"/>
      <c r="F99" s="238"/>
      <c r="G99" s="238"/>
      <c r="H99" s="238"/>
      <c r="I99" s="238"/>
      <c r="J99" s="238"/>
    </row>
    <row r="100" spans="1:10" x14ac:dyDescent="0.2">
      <c r="A100" s="238"/>
      <c r="B100" s="238"/>
      <c r="C100" s="238"/>
      <c r="D100" s="238"/>
      <c r="E100" s="238"/>
      <c r="F100" s="238"/>
      <c r="G100" s="238"/>
      <c r="H100" s="238"/>
      <c r="I100" s="238"/>
      <c r="J100" s="238"/>
    </row>
    <row r="101" spans="1:10" x14ac:dyDescent="0.2">
      <c r="A101" s="238"/>
      <c r="B101" s="238"/>
      <c r="C101" s="238"/>
      <c r="D101" s="238"/>
      <c r="E101" s="238"/>
      <c r="F101" s="238"/>
      <c r="G101" s="238"/>
      <c r="H101" s="238"/>
      <c r="I101" s="238"/>
      <c r="J101" s="238"/>
    </row>
    <row r="102" spans="1:10" x14ac:dyDescent="0.2">
      <c r="A102" s="238"/>
      <c r="B102" s="238"/>
      <c r="C102" s="238"/>
      <c r="D102" s="238"/>
      <c r="E102" s="238"/>
      <c r="F102" s="238"/>
      <c r="G102" s="238"/>
      <c r="H102" s="238"/>
      <c r="I102" s="238"/>
      <c r="J102" s="238"/>
    </row>
    <row r="103" spans="1:10" x14ac:dyDescent="0.2">
      <c r="A103" s="238"/>
      <c r="B103" s="238"/>
      <c r="C103" s="238"/>
      <c r="D103" s="238"/>
      <c r="E103" s="238"/>
      <c r="F103" s="238"/>
      <c r="G103" s="238"/>
      <c r="H103" s="238"/>
      <c r="I103" s="238"/>
      <c r="J103" s="238"/>
    </row>
    <row r="104" spans="1:10" x14ac:dyDescent="0.2">
      <c r="A104" s="238"/>
      <c r="B104" s="238"/>
      <c r="C104" s="238"/>
      <c r="D104" s="238"/>
      <c r="E104" s="238"/>
      <c r="F104" s="238"/>
      <c r="G104" s="238"/>
      <c r="H104" s="238"/>
      <c r="I104" s="238"/>
      <c r="J104" s="238"/>
    </row>
    <row r="105" spans="1:10" x14ac:dyDescent="0.2">
      <c r="A105" s="238"/>
      <c r="B105" s="238"/>
      <c r="C105" s="238"/>
      <c r="D105" s="238"/>
      <c r="E105" s="238"/>
      <c r="F105" s="238"/>
      <c r="G105" s="238"/>
      <c r="H105" s="238"/>
      <c r="I105" s="238"/>
      <c r="J105" s="238"/>
    </row>
    <row r="106" spans="1:10" x14ac:dyDescent="0.2">
      <c r="A106" s="238"/>
      <c r="B106" s="238"/>
      <c r="C106" s="238"/>
      <c r="D106" s="238"/>
      <c r="E106" s="238"/>
      <c r="F106" s="238"/>
      <c r="G106" s="238"/>
      <c r="H106" s="238"/>
      <c r="I106" s="238"/>
      <c r="J106" s="238"/>
    </row>
    <row r="107" spans="1:10" x14ac:dyDescent="0.2">
      <c r="A107" s="238"/>
      <c r="B107" s="238"/>
      <c r="C107" s="238"/>
      <c r="D107" s="238"/>
      <c r="E107" s="238"/>
      <c r="F107" s="238"/>
      <c r="G107" s="238"/>
      <c r="H107" s="238"/>
      <c r="I107" s="238"/>
      <c r="J107" s="238"/>
    </row>
    <row r="108" spans="1:10" x14ac:dyDescent="0.2">
      <c r="A108" s="238"/>
      <c r="B108" s="238"/>
      <c r="C108" s="238"/>
      <c r="D108" s="238"/>
      <c r="E108" s="238"/>
      <c r="F108" s="238"/>
      <c r="G108" s="238"/>
      <c r="H108" s="238"/>
      <c r="I108" s="238"/>
      <c r="J108" s="238"/>
    </row>
    <row r="109" spans="1:10" x14ac:dyDescent="0.2">
      <c r="A109" s="238"/>
      <c r="B109" s="238"/>
      <c r="C109" s="238"/>
      <c r="D109" s="238"/>
      <c r="E109" s="238"/>
      <c r="F109" s="238"/>
      <c r="G109" s="238"/>
      <c r="H109" s="238"/>
      <c r="I109" s="238"/>
      <c r="J109" s="238"/>
    </row>
    <row r="110" spans="1:10" x14ac:dyDescent="0.2">
      <c r="A110" s="238"/>
      <c r="B110" s="238"/>
      <c r="C110" s="238"/>
      <c r="D110" s="238"/>
      <c r="E110" s="238"/>
      <c r="F110" s="238"/>
      <c r="G110" s="238"/>
      <c r="H110" s="238"/>
      <c r="I110" s="238"/>
      <c r="J110" s="238"/>
    </row>
    <row r="111" spans="1:10" x14ac:dyDescent="0.2">
      <c r="A111" s="238"/>
      <c r="B111" s="238"/>
      <c r="C111" s="238"/>
      <c r="D111" s="238"/>
      <c r="E111" s="238"/>
      <c r="F111" s="238"/>
      <c r="G111" s="238"/>
      <c r="H111" s="238"/>
      <c r="I111" s="238"/>
      <c r="J111" s="238"/>
    </row>
    <row r="112" spans="1:10" x14ac:dyDescent="0.2">
      <c r="A112" s="238"/>
      <c r="B112" s="238"/>
      <c r="C112" s="238"/>
      <c r="D112" s="238"/>
      <c r="E112" s="238"/>
      <c r="F112" s="238"/>
      <c r="G112" s="238"/>
      <c r="H112" s="238"/>
      <c r="I112" s="238"/>
      <c r="J112" s="238"/>
    </row>
    <row r="113" spans="1:10" x14ac:dyDescent="0.2">
      <c r="A113" s="238"/>
      <c r="B113" s="238"/>
      <c r="C113" s="238"/>
      <c r="D113" s="238"/>
      <c r="E113" s="238"/>
      <c r="F113" s="238"/>
      <c r="G113" s="238"/>
      <c r="H113" s="238"/>
      <c r="I113" s="238"/>
      <c r="J113" s="238"/>
    </row>
    <row r="114" spans="1:10" x14ac:dyDescent="0.2">
      <c r="A114" s="238"/>
      <c r="B114" s="238"/>
      <c r="C114" s="238"/>
      <c r="D114" s="238"/>
      <c r="E114" s="238"/>
      <c r="F114" s="238"/>
      <c r="G114" s="238"/>
      <c r="H114" s="238"/>
      <c r="I114" s="238"/>
      <c r="J114" s="238"/>
    </row>
    <row r="115" spans="1:10" x14ac:dyDescent="0.2">
      <c r="A115" s="238"/>
      <c r="B115" s="238"/>
      <c r="C115" s="238"/>
      <c r="D115" s="238"/>
      <c r="E115" s="238"/>
      <c r="F115" s="238"/>
      <c r="G115" s="238"/>
      <c r="H115" s="238"/>
      <c r="I115" s="238"/>
      <c r="J115" s="238"/>
    </row>
    <row r="116" spans="1:10" x14ac:dyDescent="0.2">
      <c r="A116" s="238"/>
      <c r="B116" s="238"/>
      <c r="C116" s="238"/>
      <c r="D116" s="238"/>
      <c r="E116" s="238"/>
      <c r="F116" s="238"/>
      <c r="G116" s="238"/>
      <c r="H116" s="238"/>
      <c r="I116" s="238"/>
      <c r="J116" s="238"/>
    </row>
    <row r="117" spans="1:10" x14ac:dyDescent="0.2">
      <c r="A117" s="238"/>
      <c r="B117" s="238"/>
      <c r="C117" s="238"/>
      <c r="D117" s="238"/>
      <c r="E117" s="238"/>
      <c r="F117" s="238"/>
      <c r="G117" s="238"/>
      <c r="H117" s="238"/>
      <c r="I117" s="238"/>
      <c r="J117" s="238"/>
    </row>
    <row r="118" spans="1:10" x14ac:dyDescent="0.2">
      <c r="A118" s="238"/>
      <c r="B118" s="238"/>
      <c r="C118" s="238"/>
      <c r="D118" s="238"/>
      <c r="E118" s="238"/>
      <c r="F118" s="238"/>
      <c r="G118" s="238"/>
      <c r="H118" s="238"/>
      <c r="I118" s="238"/>
      <c r="J118" s="238"/>
    </row>
    <row r="119" spans="1:10" x14ac:dyDescent="0.2">
      <c r="A119" s="238"/>
      <c r="B119" s="238"/>
      <c r="C119" s="238"/>
      <c r="D119" s="238"/>
      <c r="E119" s="238"/>
      <c r="F119" s="238"/>
      <c r="G119" s="238"/>
      <c r="H119" s="238"/>
      <c r="I119" s="238"/>
      <c r="J119" s="238"/>
    </row>
    <row r="120" spans="1:10" x14ac:dyDescent="0.2">
      <c r="A120" s="238"/>
      <c r="B120" s="238"/>
      <c r="C120" s="238"/>
      <c r="D120" s="238"/>
      <c r="E120" s="238"/>
      <c r="F120" s="238"/>
      <c r="G120" s="238"/>
      <c r="H120" s="238"/>
      <c r="I120" s="238"/>
      <c r="J120" s="238"/>
    </row>
    <row r="121" spans="1:10" x14ac:dyDescent="0.2">
      <c r="A121" s="238"/>
      <c r="B121" s="238"/>
      <c r="C121" s="238"/>
      <c r="D121" s="238"/>
      <c r="E121" s="238"/>
      <c r="F121" s="238"/>
      <c r="G121" s="238"/>
      <c r="H121" s="238"/>
      <c r="I121" s="238"/>
      <c r="J121" s="238"/>
    </row>
    <row r="122" spans="1:10" x14ac:dyDescent="0.2">
      <c r="A122" s="238"/>
      <c r="B122" s="238"/>
      <c r="C122" s="238"/>
      <c r="D122" s="238"/>
      <c r="E122" s="238"/>
      <c r="F122" s="238"/>
      <c r="G122" s="238"/>
      <c r="H122" s="238"/>
      <c r="I122" s="238"/>
      <c r="J122" s="238"/>
    </row>
    <row r="123" spans="1:10" x14ac:dyDescent="0.2">
      <c r="A123" s="238"/>
      <c r="B123" s="238"/>
      <c r="C123" s="238"/>
      <c r="D123" s="238"/>
      <c r="E123" s="238"/>
      <c r="F123" s="238"/>
      <c r="G123" s="238"/>
      <c r="H123" s="238"/>
      <c r="I123" s="238"/>
      <c r="J123" s="238"/>
    </row>
    <row r="124" spans="1:10" x14ac:dyDescent="0.2">
      <c r="A124" s="238"/>
      <c r="B124" s="238"/>
      <c r="C124" s="238"/>
      <c r="D124" s="238"/>
      <c r="E124" s="238"/>
      <c r="F124" s="238"/>
      <c r="G124" s="238"/>
      <c r="H124" s="238"/>
      <c r="I124" s="238"/>
      <c r="J124" s="238"/>
    </row>
    <row r="125" spans="1:10" x14ac:dyDescent="0.2">
      <c r="A125" s="238"/>
      <c r="B125" s="238"/>
      <c r="C125" s="238"/>
      <c r="D125" s="238"/>
      <c r="E125" s="238"/>
      <c r="F125" s="238"/>
      <c r="G125" s="238"/>
      <c r="H125" s="238"/>
      <c r="I125" s="238"/>
      <c r="J125" s="238"/>
    </row>
    <row r="126" spans="1:10" x14ac:dyDescent="0.2">
      <c r="A126" s="238"/>
      <c r="B126" s="238"/>
      <c r="C126" s="238"/>
      <c r="D126" s="238"/>
      <c r="E126" s="238"/>
      <c r="F126" s="238"/>
      <c r="G126" s="238"/>
      <c r="H126" s="238"/>
      <c r="I126" s="238"/>
      <c r="J126" s="238"/>
    </row>
    <row r="127" spans="1:10" x14ac:dyDescent="0.2">
      <c r="A127" s="238"/>
      <c r="B127" s="238"/>
      <c r="C127" s="238"/>
      <c r="D127" s="238"/>
      <c r="E127" s="238"/>
      <c r="F127" s="238"/>
      <c r="G127" s="238"/>
      <c r="H127" s="238"/>
      <c r="I127" s="238"/>
      <c r="J127" s="238"/>
    </row>
    <row r="128" spans="1:10" x14ac:dyDescent="0.2">
      <c r="A128" s="238"/>
      <c r="B128" s="238"/>
      <c r="C128" s="238"/>
      <c r="D128" s="238"/>
      <c r="E128" s="238"/>
      <c r="F128" s="238"/>
      <c r="G128" s="238"/>
      <c r="H128" s="238"/>
      <c r="I128" s="238"/>
      <c r="J128" s="238"/>
    </row>
    <row r="129" spans="1:10" x14ac:dyDescent="0.2">
      <c r="A129" s="238"/>
      <c r="B129" s="238"/>
      <c r="C129" s="238"/>
      <c r="D129" s="238"/>
      <c r="E129" s="238"/>
      <c r="F129" s="238"/>
      <c r="G129" s="238"/>
      <c r="H129" s="238"/>
      <c r="I129" s="238"/>
      <c r="J129" s="238"/>
    </row>
    <row r="130" spans="1:10" x14ac:dyDescent="0.2">
      <c r="A130" s="238"/>
      <c r="B130" s="238"/>
      <c r="C130" s="238"/>
      <c r="D130" s="238"/>
      <c r="E130" s="238"/>
      <c r="F130" s="238"/>
      <c r="G130" s="238"/>
      <c r="H130" s="238"/>
      <c r="I130" s="238"/>
      <c r="J130" s="238"/>
    </row>
    <row r="131" spans="1:10" x14ac:dyDescent="0.2">
      <c r="A131" s="238"/>
      <c r="B131" s="238"/>
      <c r="C131" s="238"/>
      <c r="D131" s="238"/>
      <c r="E131" s="238"/>
      <c r="F131" s="238"/>
      <c r="G131" s="238"/>
      <c r="H131" s="238"/>
      <c r="I131" s="238"/>
      <c r="J131" s="238"/>
    </row>
    <row r="132" spans="1:10" x14ac:dyDescent="0.2">
      <c r="A132" s="238"/>
      <c r="B132" s="238"/>
      <c r="C132" s="238"/>
      <c r="D132" s="238"/>
      <c r="E132" s="238"/>
      <c r="F132" s="238"/>
      <c r="G132" s="238"/>
      <c r="H132" s="238"/>
      <c r="I132" s="238"/>
      <c r="J132" s="238"/>
    </row>
    <row r="133" spans="1:10" x14ac:dyDescent="0.2">
      <c r="A133" s="238"/>
      <c r="B133" s="238"/>
      <c r="C133" s="238"/>
      <c r="D133" s="238"/>
      <c r="E133" s="238"/>
      <c r="F133" s="238"/>
      <c r="G133" s="238"/>
      <c r="H133" s="238"/>
      <c r="I133" s="238"/>
      <c r="J133" s="238"/>
    </row>
    <row r="134" spans="1:10" x14ac:dyDescent="0.2">
      <c r="A134" s="238"/>
      <c r="B134" s="238"/>
      <c r="C134" s="238"/>
      <c r="D134" s="238"/>
      <c r="E134" s="238"/>
      <c r="F134" s="238"/>
      <c r="G134" s="238"/>
      <c r="H134" s="238"/>
      <c r="I134" s="238"/>
      <c r="J134" s="238"/>
    </row>
    <row r="135" spans="1:10" x14ac:dyDescent="0.2">
      <c r="A135" s="238"/>
      <c r="B135" s="238"/>
      <c r="C135" s="238"/>
      <c r="D135" s="238"/>
      <c r="E135" s="238"/>
      <c r="F135" s="238"/>
      <c r="G135" s="238"/>
      <c r="H135" s="238"/>
      <c r="I135" s="238"/>
      <c r="J135" s="238"/>
    </row>
    <row r="136" spans="1:10" x14ac:dyDescent="0.2">
      <c r="A136" s="238"/>
      <c r="B136" s="238"/>
      <c r="C136" s="238"/>
      <c r="D136" s="238"/>
      <c r="E136" s="238"/>
      <c r="F136" s="238"/>
      <c r="G136" s="238"/>
      <c r="H136" s="238"/>
      <c r="I136" s="238"/>
      <c r="J136" s="238"/>
    </row>
    <row r="137" spans="1:10" x14ac:dyDescent="0.2">
      <c r="A137" s="238"/>
      <c r="B137" s="238"/>
      <c r="C137" s="238"/>
      <c r="D137" s="238"/>
      <c r="E137" s="238"/>
      <c r="F137" s="238"/>
      <c r="G137" s="238"/>
      <c r="H137" s="238"/>
      <c r="I137" s="238"/>
      <c r="J137" s="238"/>
    </row>
    <row r="138" spans="1:10" x14ac:dyDescent="0.2">
      <c r="A138" s="238"/>
      <c r="B138" s="238"/>
      <c r="C138" s="238"/>
      <c r="D138" s="238"/>
      <c r="E138" s="238"/>
      <c r="F138" s="238"/>
      <c r="G138" s="238"/>
      <c r="H138" s="238"/>
      <c r="I138" s="238"/>
      <c r="J138" s="238"/>
    </row>
    <row r="139" spans="1:10" x14ac:dyDescent="0.2">
      <c r="A139" s="238"/>
      <c r="B139" s="238"/>
      <c r="C139" s="238"/>
      <c r="D139" s="238"/>
      <c r="E139" s="238"/>
      <c r="F139" s="238"/>
      <c r="G139" s="238"/>
      <c r="H139" s="238"/>
      <c r="I139" s="238"/>
      <c r="J139" s="238"/>
    </row>
    <row r="140" spans="1:10" x14ac:dyDescent="0.2">
      <c r="A140" s="238"/>
      <c r="B140" s="238"/>
      <c r="C140" s="238"/>
      <c r="D140" s="238"/>
      <c r="E140" s="238"/>
      <c r="F140" s="238"/>
      <c r="G140" s="238"/>
      <c r="H140" s="238"/>
      <c r="I140" s="238"/>
      <c r="J140" s="238"/>
    </row>
    <row r="141" spans="1:10" x14ac:dyDescent="0.2">
      <c r="A141" s="238"/>
      <c r="B141" s="238"/>
      <c r="C141" s="238"/>
      <c r="D141" s="238"/>
      <c r="E141" s="238"/>
      <c r="F141" s="238"/>
      <c r="G141" s="238"/>
      <c r="H141" s="238"/>
      <c r="I141" s="238"/>
      <c r="J141" s="238"/>
    </row>
    <row r="142" spans="1:10" x14ac:dyDescent="0.2">
      <c r="A142" s="238"/>
      <c r="B142" s="238"/>
      <c r="C142" s="238"/>
      <c r="D142" s="238"/>
      <c r="E142" s="238"/>
      <c r="F142" s="238"/>
      <c r="G142" s="238"/>
      <c r="H142" s="238"/>
      <c r="I142" s="238"/>
      <c r="J142" s="238"/>
    </row>
    <row r="143" spans="1:10" x14ac:dyDescent="0.2">
      <c r="A143" s="238"/>
      <c r="B143" s="238"/>
      <c r="C143" s="238"/>
      <c r="D143" s="238"/>
      <c r="E143" s="238"/>
      <c r="F143" s="238"/>
      <c r="G143" s="238"/>
      <c r="H143" s="238"/>
      <c r="I143" s="238"/>
      <c r="J143" s="238"/>
    </row>
    <row r="144" spans="1:10" x14ac:dyDescent="0.2">
      <c r="A144" s="238"/>
      <c r="B144" s="238"/>
      <c r="C144" s="238"/>
      <c r="D144" s="238"/>
      <c r="E144" s="238"/>
      <c r="F144" s="238"/>
      <c r="G144" s="238"/>
      <c r="H144" s="238"/>
      <c r="I144" s="238"/>
      <c r="J144" s="238"/>
    </row>
    <row r="145" spans="1:10" x14ac:dyDescent="0.2">
      <c r="A145" s="238"/>
      <c r="B145" s="238"/>
      <c r="C145" s="238"/>
      <c r="D145" s="238"/>
      <c r="E145" s="238"/>
      <c r="F145" s="238"/>
      <c r="G145" s="238"/>
      <c r="H145" s="238"/>
      <c r="I145" s="238"/>
      <c r="J145" s="238"/>
    </row>
    <row r="146" spans="1:10" x14ac:dyDescent="0.2">
      <c r="A146" s="238"/>
      <c r="B146" s="238"/>
      <c r="C146" s="238"/>
      <c r="D146" s="238"/>
      <c r="E146" s="238"/>
      <c r="F146" s="238"/>
      <c r="G146" s="238"/>
      <c r="H146" s="238"/>
      <c r="I146" s="238"/>
      <c r="J146" s="238"/>
    </row>
    <row r="147" spans="1:10" x14ac:dyDescent="0.2">
      <c r="A147" s="238"/>
      <c r="B147" s="238"/>
      <c r="C147" s="238"/>
      <c r="D147" s="238"/>
      <c r="E147" s="238"/>
      <c r="F147" s="238"/>
      <c r="G147" s="238"/>
      <c r="H147" s="238"/>
      <c r="I147" s="238"/>
      <c r="J147" s="238"/>
    </row>
    <row r="148" spans="1:10" x14ac:dyDescent="0.2">
      <c r="A148" s="238"/>
      <c r="B148" s="238"/>
      <c r="C148" s="238"/>
      <c r="D148" s="238"/>
      <c r="E148" s="238"/>
      <c r="F148" s="238"/>
      <c r="G148" s="238"/>
      <c r="H148" s="238"/>
      <c r="I148" s="238"/>
      <c r="J148" s="238"/>
    </row>
    <row r="149" spans="1:10" x14ac:dyDescent="0.2">
      <c r="A149" s="238"/>
      <c r="B149" s="238"/>
      <c r="C149" s="238"/>
      <c r="D149" s="238"/>
      <c r="E149" s="238"/>
      <c r="F149" s="238"/>
      <c r="G149" s="238"/>
      <c r="H149" s="238"/>
      <c r="I149" s="238"/>
      <c r="J149" s="238"/>
    </row>
    <row r="150" spans="1:10" x14ac:dyDescent="0.2">
      <c r="A150" s="238"/>
      <c r="B150" s="238"/>
      <c r="C150" s="238"/>
      <c r="D150" s="238"/>
      <c r="E150" s="238"/>
      <c r="F150" s="238"/>
      <c r="G150" s="238"/>
      <c r="H150" s="238"/>
      <c r="I150" s="238"/>
      <c r="J150" s="238"/>
    </row>
    <row r="151" spans="1:10" x14ac:dyDescent="0.2">
      <c r="A151" s="238"/>
      <c r="B151" s="238"/>
      <c r="C151" s="238"/>
      <c r="D151" s="238"/>
      <c r="E151" s="238"/>
      <c r="F151" s="238"/>
      <c r="G151" s="238"/>
      <c r="H151" s="238"/>
      <c r="I151" s="238"/>
      <c r="J151" s="238"/>
    </row>
    <row r="152" spans="1:10" x14ac:dyDescent="0.2">
      <c r="A152" s="238"/>
      <c r="B152" s="238"/>
      <c r="C152" s="238"/>
      <c r="D152" s="238"/>
      <c r="E152" s="238"/>
      <c r="F152" s="238"/>
      <c r="G152" s="238"/>
      <c r="H152" s="238"/>
      <c r="I152" s="238"/>
      <c r="J152" s="238"/>
    </row>
    <row r="153" spans="1:10" x14ac:dyDescent="0.2">
      <c r="A153" s="238"/>
      <c r="B153" s="238"/>
      <c r="C153" s="238"/>
      <c r="D153" s="238"/>
      <c r="E153" s="238"/>
      <c r="F153" s="238"/>
      <c r="G153" s="238"/>
      <c r="H153" s="238"/>
      <c r="I153" s="238"/>
      <c r="J153" s="238"/>
    </row>
    <row r="154" spans="1:10" x14ac:dyDescent="0.2">
      <c r="A154" s="238"/>
      <c r="B154" s="238"/>
      <c r="C154" s="238"/>
      <c r="D154" s="238"/>
      <c r="E154" s="238"/>
      <c r="F154" s="238"/>
      <c r="G154" s="238"/>
      <c r="H154" s="238"/>
      <c r="I154" s="238"/>
      <c r="J154" s="238"/>
    </row>
    <row r="155" spans="1:10" x14ac:dyDescent="0.2">
      <c r="A155" s="238"/>
      <c r="B155" s="238"/>
      <c r="C155" s="238"/>
      <c r="D155" s="238"/>
      <c r="E155" s="238"/>
      <c r="F155" s="238"/>
      <c r="G155" s="238"/>
      <c r="H155" s="238"/>
      <c r="I155" s="238"/>
      <c r="J155" s="238"/>
    </row>
    <row r="156" spans="1:10" x14ac:dyDescent="0.2">
      <c r="A156" s="238"/>
      <c r="B156" s="238"/>
      <c r="C156" s="238"/>
      <c r="D156" s="238"/>
      <c r="E156" s="238"/>
      <c r="F156" s="238"/>
      <c r="G156" s="238"/>
      <c r="H156" s="238"/>
      <c r="I156" s="238"/>
      <c r="J156" s="238"/>
    </row>
    <row r="157" spans="1:10" x14ac:dyDescent="0.2">
      <c r="A157" s="238"/>
      <c r="B157" s="238"/>
      <c r="C157" s="238"/>
      <c r="D157" s="238"/>
      <c r="E157" s="238"/>
      <c r="F157" s="238"/>
      <c r="G157" s="238"/>
      <c r="H157" s="238"/>
      <c r="I157" s="238"/>
      <c r="J157" s="238"/>
    </row>
    <row r="158" spans="1:10" x14ac:dyDescent="0.2">
      <c r="A158" s="238"/>
      <c r="B158" s="238"/>
      <c r="C158" s="238"/>
      <c r="D158" s="238"/>
      <c r="E158" s="238"/>
      <c r="F158" s="238"/>
      <c r="G158" s="238"/>
      <c r="H158" s="238"/>
      <c r="I158" s="238"/>
      <c r="J158" s="238"/>
    </row>
    <row r="159" spans="1:10" x14ac:dyDescent="0.2">
      <c r="A159" s="238"/>
      <c r="B159" s="238"/>
      <c r="C159" s="238"/>
      <c r="D159" s="238"/>
      <c r="E159" s="238"/>
      <c r="F159" s="238"/>
      <c r="G159" s="238"/>
      <c r="H159" s="238"/>
      <c r="I159" s="238"/>
      <c r="J159" s="238"/>
    </row>
    <row r="160" spans="1:10" x14ac:dyDescent="0.2">
      <c r="A160" s="238"/>
      <c r="B160" s="238"/>
      <c r="C160" s="238"/>
      <c r="D160" s="238"/>
      <c r="E160" s="238"/>
      <c r="F160" s="238"/>
      <c r="G160" s="238"/>
      <c r="H160" s="238"/>
      <c r="I160" s="238"/>
      <c r="J160" s="238"/>
    </row>
    <row r="161" spans="1:10" x14ac:dyDescent="0.2">
      <c r="A161" s="238"/>
      <c r="B161" s="238"/>
      <c r="C161" s="238"/>
      <c r="D161" s="238"/>
      <c r="E161" s="238"/>
      <c r="F161" s="238"/>
      <c r="G161" s="238"/>
      <c r="H161" s="238"/>
      <c r="I161" s="238"/>
      <c r="J161" s="238"/>
    </row>
    <row r="162" spans="1:10" x14ac:dyDescent="0.2">
      <c r="A162" s="238"/>
      <c r="B162" s="238"/>
      <c r="C162" s="238"/>
      <c r="D162" s="238"/>
      <c r="E162" s="238"/>
      <c r="F162" s="238"/>
      <c r="G162" s="238"/>
      <c r="H162" s="238"/>
      <c r="I162" s="238"/>
      <c r="J162" s="238"/>
    </row>
    <row r="163" spans="1:10" x14ac:dyDescent="0.2">
      <c r="A163" s="238"/>
      <c r="B163" s="238"/>
      <c r="C163" s="238"/>
      <c r="D163" s="238"/>
      <c r="E163" s="238"/>
      <c r="F163" s="238"/>
      <c r="G163" s="238"/>
      <c r="H163" s="238"/>
      <c r="I163" s="238"/>
      <c r="J163" s="238"/>
    </row>
    <row r="164" spans="1:10" x14ac:dyDescent="0.2">
      <c r="A164" s="238"/>
      <c r="B164" s="238"/>
      <c r="C164" s="238"/>
      <c r="D164" s="238"/>
      <c r="E164" s="238"/>
      <c r="F164" s="238"/>
      <c r="G164" s="238"/>
      <c r="H164" s="238"/>
      <c r="I164" s="238"/>
      <c r="J164" s="238"/>
    </row>
    <row r="165" spans="1:10" x14ac:dyDescent="0.2">
      <c r="A165" s="238"/>
      <c r="B165" s="238"/>
      <c r="C165" s="238"/>
      <c r="D165" s="238"/>
      <c r="E165" s="238"/>
      <c r="F165" s="238"/>
      <c r="G165" s="238"/>
      <c r="H165" s="238"/>
      <c r="I165" s="238"/>
      <c r="J165" s="238"/>
    </row>
    <row r="166" spans="1:10" x14ac:dyDescent="0.2">
      <c r="A166" s="238"/>
      <c r="B166" s="238"/>
      <c r="C166" s="238"/>
      <c r="D166" s="238"/>
      <c r="E166" s="238"/>
      <c r="F166" s="238"/>
      <c r="G166" s="238"/>
      <c r="H166" s="238"/>
      <c r="I166" s="238"/>
      <c r="J166" s="238"/>
    </row>
    <row r="167" spans="1:10" x14ac:dyDescent="0.2">
      <c r="A167" s="238"/>
      <c r="B167" s="238"/>
      <c r="C167" s="238"/>
      <c r="D167" s="238"/>
      <c r="E167" s="238"/>
      <c r="F167" s="238"/>
      <c r="G167" s="238"/>
      <c r="H167" s="238"/>
      <c r="I167" s="238"/>
      <c r="J167" s="238"/>
    </row>
    <row r="168" spans="1:10" x14ac:dyDescent="0.2">
      <c r="A168" s="238"/>
      <c r="B168" s="238"/>
      <c r="C168" s="238"/>
      <c r="D168" s="238"/>
      <c r="E168" s="238"/>
      <c r="F168" s="238"/>
      <c r="G168" s="238"/>
      <c r="H168" s="238"/>
      <c r="I168" s="238"/>
      <c r="J168" s="238"/>
    </row>
    <row r="169" spans="1:10" x14ac:dyDescent="0.2">
      <c r="A169" s="238"/>
      <c r="B169" s="238"/>
      <c r="C169" s="238"/>
      <c r="D169" s="238"/>
      <c r="E169" s="238"/>
      <c r="F169" s="238"/>
      <c r="G169" s="238"/>
      <c r="H169" s="238"/>
      <c r="I169" s="238"/>
      <c r="J169" s="238"/>
    </row>
    <row r="170" spans="1:10" x14ac:dyDescent="0.2">
      <c r="A170" s="238"/>
      <c r="B170" s="238"/>
      <c r="C170" s="238"/>
      <c r="D170" s="238"/>
      <c r="E170" s="238"/>
      <c r="F170" s="238"/>
      <c r="G170" s="238"/>
      <c r="H170" s="238"/>
      <c r="I170" s="238"/>
      <c r="J170" s="238"/>
    </row>
    <row r="171" spans="1:10" x14ac:dyDescent="0.2">
      <c r="A171" s="238"/>
      <c r="B171" s="238"/>
      <c r="C171" s="238"/>
      <c r="D171" s="238"/>
      <c r="E171" s="238"/>
      <c r="F171" s="238"/>
      <c r="G171" s="238"/>
      <c r="H171" s="238"/>
      <c r="I171" s="238"/>
      <c r="J171" s="238"/>
    </row>
    <row r="172" spans="1:10" x14ac:dyDescent="0.2">
      <c r="A172" s="238"/>
      <c r="B172" s="238"/>
      <c r="C172" s="238"/>
      <c r="D172" s="238"/>
      <c r="E172" s="238"/>
      <c r="F172" s="238"/>
      <c r="G172" s="238"/>
      <c r="H172" s="238"/>
      <c r="I172" s="238"/>
      <c r="J172" s="238"/>
    </row>
    <row r="173" spans="1:10" x14ac:dyDescent="0.2">
      <c r="A173" s="238"/>
      <c r="B173" s="238"/>
      <c r="C173" s="238"/>
      <c r="D173" s="238"/>
      <c r="E173" s="238"/>
      <c r="F173" s="238"/>
      <c r="G173" s="238"/>
      <c r="H173" s="238"/>
      <c r="I173" s="238"/>
      <c r="J173" s="238"/>
    </row>
    <row r="174" spans="1:10" x14ac:dyDescent="0.2">
      <c r="A174" s="238"/>
      <c r="B174" s="238"/>
      <c r="C174" s="238"/>
      <c r="D174" s="238"/>
      <c r="E174" s="238"/>
      <c r="F174" s="238"/>
      <c r="G174" s="238"/>
      <c r="H174" s="238"/>
      <c r="I174" s="238"/>
      <c r="J174" s="238"/>
    </row>
    <row r="175" spans="1:10" x14ac:dyDescent="0.2">
      <c r="A175" s="238"/>
      <c r="B175" s="238"/>
      <c r="C175" s="238"/>
      <c r="D175" s="238"/>
      <c r="E175" s="238"/>
      <c r="F175" s="238"/>
      <c r="G175" s="238"/>
      <c r="H175" s="238"/>
      <c r="I175" s="238"/>
      <c r="J175" s="238"/>
    </row>
    <row r="176" spans="1:10" x14ac:dyDescent="0.2">
      <c r="A176" s="238"/>
      <c r="B176" s="238"/>
      <c r="C176" s="238"/>
      <c r="D176" s="238"/>
      <c r="E176" s="238"/>
      <c r="F176" s="238"/>
      <c r="G176" s="238"/>
      <c r="H176" s="238"/>
      <c r="I176" s="238"/>
      <c r="J176" s="238"/>
    </row>
    <row r="177" spans="1:10" x14ac:dyDescent="0.2">
      <c r="A177" s="238"/>
      <c r="B177" s="238"/>
      <c r="C177" s="238"/>
      <c r="D177" s="238"/>
      <c r="E177" s="238"/>
      <c r="F177" s="238"/>
      <c r="G177" s="238"/>
      <c r="H177" s="238"/>
      <c r="I177" s="238"/>
      <c r="J177" s="238"/>
    </row>
    <row r="178" spans="1:10" x14ac:dyDescent="0.2">
      <c r="A178" s="238"/>
      <c r="B178" s="238"/>
      <c r="C178" s="238"/>
      <c r="D178" s="238"/>
      <c r="E178" s="238"/>
      <c r="F178" s="238"/>
      <c r="G178" s="238"/>
      <c r="H178" s="238"/>
      <c r="I178" s="238"/>
      <c r="J178" s="238"/>
    </row>
    <row r="179" spans="1:10" x14ac:dyDescent="0.2">
      <c r="A179" s="238"/>
      <c r="B179" s="238"/>
      <c r="C179" s="238"/>
      <c r="D179" s="238"/>
      <c r="E179" s="238"/>
      <c r="F179" s="238"/>
      <c r="G179" s="238"/>
      <c r="H179" s="238"/>
      <c r="I179" s="238"/>
      <c r="J179" s="238"/>
    </row>
    <row r="180" spans="1:10" x14ac:dyDescent="0.2">
      <c r="A180" s="238"/>
      <c r="B180" s="238"/>
      <c r="C180" s="238"/>
      <c r="D180" s="238"/>
      <c r="E180" s="238"/>
      <c r="F180" s="238"/>
      <c r="G180" s="238"/>
      <c r="H180" s="238"/>
      <c r="I180" s="238"/>
      <c r="J180" s="238"/>
    </row>
    <row r="181" spans="1:10" x14ac:dyDescent="0.2">
      <c r="A181" s="238"/>
      <c r="B181" s="238"/>
      <c r="C181" s="238"/>
      <c r="D181" s="238"/>
      <c r="E181" s="238"/>
      <c r="F181" s="238"/>
      <c r="G181" s="238"/>
      <c r="H181" s="238"/>
      <c r="I181" s="238"/>
      <c r="J181" s="238"/>
    </row>
    <row r="182" spans="1:10" x14ac:dyDescent="0.2">
      <c r="A182" s="238"/>
      <c r="B182" s="238"/>
      <c r="C182" s="238"/>
      <c r="D182" s="238"/>
      <c r="E182" s="238"/>
      <c r="F182" s="238"/>
      <c r="G182" s="238"/>
      <c r="H182" s="238"/>
      <c r="I182" s="238"/>
      <c r="J182" s="238"/>
    </row>
    <row r="183" spans="1:10" x14ac:dyDescent="0.2">
      <c r="A183" s="238"/>
      <c r="B183" s="238"/>
      <c r="C183" s="238"/>
      <c r="D183" s="238"/>
      <c r="E183" s="238"/>
      <c r="F183" s="238"/>
      <c r="G183" s="238"/>
      <c r="H183" s="238"/>
      <c r="I183" s="238"/>
      <c r="J183" s="238"/>
    </row>
    <row r="184" spans="1:10" x14ac:dyDescent="0.2">
      <c r="A184" s="238"/>
      <c r="B184" s="238"/>
      <c r="C184" s="238"/>
      <c r="D184" s="238"/>
      <c r="E184" s="238"/>
      <c r="F184" s="238"/>
      <c r="G184" s="238"/>
      <c r="H184" s="238"/>
      <c r="I184" s="238"/>
      <c r="J184" s="238"/>
    </row>
    <row r="185" spans="1:10" x14ac:dyDescent="0.2">
      <c r="A185" s="238"/>
      <c r="B185" s="238"/>
      <c r="C185" s="238"/>
      <c r="D185" s="238"/>
      <c r="E185" s="238"/>
      <c r="F185" s="238"/>
      <c r="G185" s="238"/>
      <c r="H185" s="238"/>
      <c r="I185" s="238"/>
      <c r="J185" s="238"/>
    </row>
    <row r="186" spans="1:10" x14ac:dyDescent="0.2">
      <c r="A186" s="238"/>
      <c r="B186" s="238"/>
      <c r="C186" s="238"/>
      <c r="D186" s="238"/>
      <c r="E186" s="238"/>
      <c r="F186" s="238"/>
      <c r="G186" s="238"/>
      <c r="H186" s="238"/>
      <c r="I186" s="238"/>
      <c r="J186" s="238"/>
    </row>
    <row r="187" spans="1:10" x14ac:dyDescent="0.2">
      <c r="A187" s="238"/>
      <c r="B187" s="238"/>
      <c r="C187" s="238"/>
      <c r="D187" s="238"/>
      <c r="E187" s="238"/>
      <c r="F187" s="238"/>
      <c r="G187" s="238"/>
      <c r="H187" s="238"/>
      <c r="I187" s="238"/>
      <c r="J187" s="238"/>
    </row>
    <row r="188" spans="1:10" x14ac:dyDescent="0.2">
      <c r="A188" s="238"/>
      <c r="B188" s="238"/>
      <c r="C188" s="238"/>
      <c r="D188" s="238"/>
      <c r="E188" s="238"/>
      <c r="F188" s="238"/>
      <c r="G188" s="238"/>
      <c r="H188" s="238"/>
      <c r="I188" s="238"/>
      <c r="J188" s="238"/>
    </row>
    <row r="189" spans="1:10" x14ac:dyDescent="0.2">
      <c r="A189" s="238"/>
      <c r="B189" s="238"/>
      <c r="C189" s="238"/>
      <c r="D189" s="238"/>
      <c r="E189" s="238"/>
      <c r="F189" s="238"/>
      <c r="G189" s="238"/>
      <c r="H189" s="238"/>
      <c r="I189" s="238"/>
      <c r="J189" s="238"/>
    </row>
    <row r="190" spans="1:10" x14ac:dyDescent="0.2">
      <c r="A190" s="238"/>
      <c r="B190" s="238"/>
      <c r="C190" s="238"/>
      <c r="D190" s="238"/>
      <c r="E190" s="238"/>
      <c r="F190" s="238"/>
      <c r="G190" s="238"/>
      <c r="H190" s="238"/>
      <c r="I190" s="238"/>
      <c r="J190" s="238"/>
    </row>
    <row r="191" spans="1:10" x14ac:dyDescent="0.2">
      <c r="A191" s="238"/>
      <c r="B191" s="238"/>
      <c r="C191" s="238"/>
      <c r="D191" s="238"/>
      <c r="E191" s="238"/>
      <c r="F191" s="238"/>
      <c r="G191" s="238"/>
      <c r="H191" s="238"/>
      <c r="I191" s="238"/>
      <c r="J191" s="238"/>
    </row>
    <row r="192" spans="1:10" x14ac:dyDescent="0.2">
      <c r="A192" s="238"/>
      <c r="B192" s="238"/>
      <c r="C192" s="238"/>
      <c r="D192" s="238"/>
      <c r="E192" s="238"/>
      <c r="F192" s="238"/>
      <c r="G192" s="238"/>
      <c r="H192" s="238"/>
      <c r="I192" s="238"/>
      <c r="J192" s="238"/>
    </row>
    <row r="193" spans="1:10" x14ac:dyDescent="0.2">
      <c r="A193" s="238"/>
      <c r="B193" s="238"/>
      <c r="C193" s="238"/>
      <c r="D193" s="238"/>
      <c r="E193" s="238"/>
      <c r="F193" s="238"/>
      <c r="G193" s="238"/>
      <c r="H193" s="238"/>
      <c r="I193" s="238"/>
      <c r="J193" s="238"/>
    </row>
    <row r="194" spans="1:10" x14ac:dyDescent="0.2">
      <c r="A194" s="238"/>
      <c r="B194" s="238"/>
      <c r="C194" s="238"/>
      <c r="D194" s="238"/>
      <c r="E194" s="238"/>
      <c r="F194" s="238"/>
      <c r="G194" s="238"/>
      <c r="H194" s="238"/>
      <c r="I194" s="238"/>
      <c r="J194" s="238"/>
    </row>
    <row r="195" spans="1:10" x14ac:dyDescent="0.2">
      <c r="A195" s="238"/>
      <c r="B195" s="238"/>
      <c r="C195" s="238"/>
      <c r="D195" s="238"/>
      <c r="E195" s="238"/>
      <c r="F195" s="238"/>
      <c r="G195" s="238"/>
      <c r="H195" s="238"/>
      <c r="I195" s="238"/>
      <c r="J195" s="238"/>
    </row>
    <row r="196" spans="1:10" x14ac:dyDescent="0.2">
      <c r="A196" s="238"/>
      <c r="B196" s="238"/>
      <c r="C196" s="238"/>
      <c r="D196" s="238"/>
      <c r="E196" s="238"/>
      <c r="F196" s="238"/>
      <c r="G196" s="238"/>
      <c r="H196" s="238"/>
      <c r="I196" s="238"/>
      <c r="J196" s="238"/>
    </row>
    <row r="197" spans="1:10" x14ac:dyDescent="0.2">
      <c r="A197" s="238"/>
      <c r="B197" s="238"/>
      <c r="C197" s="238"/>
      <c r="D197" s="238"/>
      <c r="E197" s="238"/>
      <c r="F197" s="238"/>
      <c r="G197" s="238"/>
      <c r="H197" s="238"/>
      <c r="I197" s="238"/>
      <c r="J197" s="238"/>
    </row>
    <row r="198" spans="1:10" x14ac:dyDescent="0.2">
      <c r="A198" s="238"/>
      <c r="B198" s="238"/>
      <c r="C198" s="238"/>
      <c r="D198" s="238"/>
      <c r="E198" s="238"/>
      <c r="F198" s="238"/>
      <c r="G198" s="238"/>
      <c r="H198" s="238"/>
      <c r="I198" s="238"/>
      <c r="J198" s="238"/>
    </row>
    <row r="199" spans="1:10" x14ac:dyDescent="0.2">
      <c r="A199" s="238"/>
      <c r="B199" s="238"/>
      <c r="C199" s="238"/>
      <c r="D199" s="238"/>
      <c r="E199" s="238"/>
      <c r="F199" s="238"/>
      <c r="G199" s="238"/>
      <c r="H199" s="238"/>
      <c r="I199" s="238"/>
      <c r="J199" s="238"/>
    </row>
    <row r="200" spans="1:10" x14ac:dyDescent="0.2">
      <c r="A200" s="238"/>
      <c r="B200" s="238"/>
      <c r="C200" s="238"/>
      <c r="D200" s="238"/>
      <c r="E200" s="238"/>
      <c r="F200" s="238"/>
      <c r="G200" s="238"/>
      <c r="H200" s="238"/>
      <c r="I200" s="238"/>
      <c r="J200" s="238"/>
    </row>
    <row r="201" spans="1:10" x14ac:dyDescent="0.2">
      <c r="A201" s="238"/>
      <c r="B201" s="238"/>
      <c r="C201" s="238"/>
      <c r="D201" s="238"/>
      <c r="E201" s="238"/>
      <c r="F201" s="238"/>
      <c r="G201" s="238"/>
      <c r="H201" s="238"/>
      <c r="I201" s="238"/>
      <c r="J201" s="238"/>
    </row>
    <row r="202" spans="1:10" x14ac:dyDescent="0.2">
      <c r="A202" s="238"/>
      <c r="B202" s="238"/>
      <c r="C202" s="238"/>
      <c r="D202" s="238"/>
      <c r="E202" s="238"/>
      <c r="F202" s="238"/>
      <c r="G202" s="238"/>
      <c r="H202" s="238"/>
      <c r="I202" s="238"/>
      <c r="J202" s="238"/>
    </row>
    <row r="203" spans="1:10" x14ac:dyDescent="0.2">
      <c r="A203" s="238"/>
      <c r="B203" s="238"/>
      <c r="C203" s="238"/>
      <c r="D203" s="238"/>
      <c r="E203" s="238"/>
      <c r="F203" s="238"/>
      <c r="G203" s="238"/>
      <c r="H203" s="238"/>
      <c r="I203" s="238"/>
      <c r="J203" s="238"/>
    </row>
    <row r="204" spans="1:10" x14ac:dyDescent="0.2">
      <c r="A204" s="238"/>
      <c r="B204" s="238"/>
      <c r="C204" s="238"/>
      <c r="D204" s="238"/>
      <c r="E204" s="238"/>
      <c r="F204" s="238"/>
      <c r="G204" s="238"/>
      <c r="H204" s="238"/>
      <c r="I204" s="238"/>
      <c r="J204" s="238"/>
    </row>
    <row r="205" spans="1:10" x14ac:dyDescent="0.2">
      <c r="A205" s="238"/>
      <c r="B205" s="238"/>
      <c r="C205" s="238"/>
      <c r="D205" s="238"/>
      <c r="E205" s="238"/>
      <c r="F205" s="238"/>
      <c r="G205" s="238"/>
      <c r="H205" s="238"/>
      <c r="I205" s="238"/>
      <c r="J205" s="238"/>
    </row>
    <row r="206" spans="1:10" x14ac:dyDescent="0.2">
      <c r="A206" s="238"/>
      <c r="B206" s="238"/>
      <c r="C206" s="238"/>
      <c r="D206" s="238"/>
      <c r="E206" s="238"/>
      <c r="F206" s="238"/>
      <c r="G206" s="238"/>
      <c r="H206" s="238"/>
      <c r="I206" s="238"/>
      <c r="J206" s="238"/>
    </row>
    <row r="207" spans="1:10" x14ac:dyDescent="0.2">
      <c r="A207" s="238"/>
      <c r="B207" s="238"/>
      <c r="C207" s="238"/>
      <c r="D207" s="238"/>
      <c r="E207" s="238"/>
      <c r="F207" s="238"/>
      <c r="G207" s="238"/>
      <c r="H207" s="238"/>
      <c r="I207" s="238"/>
      <c r="J207" s="238"/>
    </row>
    <row r="208" spans="1:10" x14ac:dyDescent="0.2">
      <c r="A208" s="238"/>
      <c r="B208" s="238"/>
      <c r="C208" s="238"/>
      <c r="D208" s="238"/>
      <c r="E208" s="238"/>
      <c r="F208" s="238"/>
      <c r="G208" s="238"/>
      <c r="H208" s="238"/>
      <c r="I208" s="238"/>
      <c r="J208" s="238"/>
    </row>
    <row r="209" spans="1:10" x14ac:dyDescent="0.2">
      <c r="A209" s="238"/>
      <c r="B209" s="238"/>
      <c r="C209" s="238"/>
      <c r="D209" s="238"/>
      <c r="E209" s="238"/>
      <c r="F209" s="238"/>
      <c r="G209" s="238"/>
      <c r="H209" s="238"/>
      <c r="I209" s="238"/>
      <c r="J209" s="238"/>
    </row>
    <row r="210" spans="1:10" x14ac:dyDescent="0.2">
      <c r="A210" s="238"/>
      <c r="B210" s="238"/>
      <c r="C210" s="238"/>
      <c r="D210" s="238"/>
      <c r="E210" s="238"/>
      <c r="F210" s="238"/>
      <c r="G210" s="238"/>
      <c r="H210" s="238"/>
      <c r="I210" s="238"/>
      <c r="J210" s="238"/>
    </row>
    <row r="211" spans="1:10" x14ac:dyDescent="0.2">
      <c r="A211" s="238"/>
      <c r="B211" s="238"/>
      <c r="C211" s="238"/>
      <c r="D211" s="238"/>
      <c r="E211" s="238"/>
      <c r="F211" s="238"/>
      <c r="G211" s="238"/>
      <c r="H211" s="238"/>
      <c r="I211" s="238"/>
      <c r="J211" s="238"/>
    </row>
    <row r="212" spans="1:10" x14ac:dyDescent="0.2">
      <c r="A212" s="238"/>
      <c r="B212" s="238"/>
      <c r="C212" s="238"/>
      <c r="D212" s="238"/>
      <c r="E212" s="238"/>
      <c r="F212" s="238"/>
      <c r="G212" s="238"/>
      <c r="H212" s="238"/>
      <c r="I212" s="238"/>
      <c r="J212" s="238"/>
    </row>
    <row r="213" spans="1:10" x14ac:dyDescent="0.2">
      <c r="A213" s="238"/>
      <c r="B213" s="238"/>
      <c r="C213" s="238"/>
      <c r="D213" s="238"/>
      <c r="E213" s="238"/>
      <c r="F213" s="238"/>
      <c r="G213" s="238"/>
      <c r="H213" s="238"/>
      <c r="I213" s="238"/>
      <c r="J213" s="238"/>
    </row>
    <row r="214" spans="1:10" x14ac:dyDescent="0.2">
      <c r="A214" s="238"/>
      <c r="B214" s="238"/>
      <c r="C214" s="238"/>
      <c r="D214" s="238"/>
      <c r="E214" s="238"/>
      <c r="F214" s="238"/>
      <c r="G214" s="238"/>
      <c r="H214" s="238"/>
      <c r="I214" s="238"/>
      <c r="J214" s="238"/>
    </row>
    <row r="215" spans="1:10" x14ac:dyDescent="0.2">
      <c r="A215" s="238"/>
      <c r="B215" s="238"/>
      <c r="C215" s="238"/>
      <c r="D215" s="238"/>
      <c r="E215" s="238"/>
      <c r="F215" s="238"/>
      <c r="G215" s="238"/>
      <c r="H215" s="238"/>
      <c r="I215" s="238"/>
      <c r="J215" s="238"/>
    </row>
    <row r="216" spans="1:10" x14ac:dyDescent="0.2">
      <c r="A216" s="238"/>
      <c r="B216" s="238"/>
      <c r="C216" s="238"/>
      <c r="D216" s="238"/>
      <c r="E216" s="238"/>
      <c r="F216" s="238"/>
      <c r="G216" s="238"/>
      <c r="H216" s="238"/>
      <c r="I216" s="238"/>
      <c r="J216" s="238"/>
    </row>
    <row r="217" spans="1:10" x14ac:dyDescent="0.2">
      <c r="A217" s="238"/>
      <c r="B217" s="238"/>
      <c r="C217" s="238"/>
      <c r="D217" s="238"/>
      <c r="E217" s="238"/>
      <c r="F217" s="238"/>
      <c r="G217" s="238"/>
      <c r="H217" s="238"/>
      <c r="I217" s="238"/>
      <c r="J217" s="238"/>
    </row>
    <row r="218" spans="1:10" x14ac:dyDescent="0.2">
      <c r="A218" s="238"/>
      <c r="B218" s="238"/>
      <c r="C218" s="238"/>
      <c r="D218" s="238"/>
      <c r="E218" s="238"/>
      <c r="F218" s="238"/>
      <c r="G218" s="238"/>
      <c r="H218" s="238"/>
      <c r="I218" s="238"/>
      <c r="J218" s="238"/>
    </row>
    <row r="219" spans="1:10" x14ac:dyDescent="0.2">
      <c r="A219" s="238"/>
      <c r="B219" s="238"/>
      <c r="C219" s="238"/>
      <c r="D219" s="238"/>
      <c r="E219" s="238"/>
      <c r="F219" s="238"/>
      <c r="G219" s="238"/>
      <c r="H219" s="238"/>
      <c r="I219" s="238"/>
      <c r="J219" s="238"/>
    </row>
    <row r="220" spans="1:10" x14ac:dyDescent="0.2">
      <c r="A220" s="238"/>
      <c r="B220" s="238"/>
      <c r="C220" s="238"/>
      <c r="D220" s="238"/>
      <c r="E220" s="238"/>
      <c r="F220" s="238"/>
      <c r="G220" s="238"/>
      <c r="H220" s="238"/>
      <c r="I220" s="238"/>
      <c r="J220" s="238"/>
    </row>
    <row r="221" spans="1:10" x14ac:dyDescent="0.2">
      <c r="A221" s="238"/>
      <c r="B221" s="238"/>
      <c r="C221" s="238"/>
      <c r="D221" s="238"/>
      <c r="E221" s="238"/>
      <c r="F221" s="238"/>
      <c r="G221" s="238"/>
      <c r="H221" s="238"/>
      <c r="I221" s="238"/>
      <c r="J221" s="238"/>
    </row>
    <row r="222" spans="1:10" x14ac:dyDescent="0.2">
      <c r="A222" s="238"/>
      <c r="B222" s="238"/>
      <c r="C222" s="238"/>
      <c r="D222" s="238"/>
      <c r="E222" s="238"/>
      <c r="F222" s="238"/>
      <c r="G222" s="238"/>
      <c r="H222" s="238"/>
      <c r="I222" s="238"/>
      <c r="J222" s="238"/>
    </row>
    <row r="223" spans="1:10" x14ac:dyDescent="0.2">
      <c r="A223" s="238"/>
      <c r="B223" s="238"/>
      <c r="C223" s="238"/>
      <c r="D223" s="238"/>
      <c r="E223" s="238"/>
      <c r="F223" s="238"/>
      <c r="G223" s="238"/>
      <c r="H223" s="238"/>
      <c r="I223" s="238"/>
      <c r="J223" s="238"/>
    </row>
    <row r="224" spans="1:10" x14ac:dyDescent="0.2">
      <c r="A224" s="238"/>
      <c r="B224" s="238"/>
      <c r="C224" s="238"/>
      <c r="D224" s="238"/>
      <c r="E224" s="238"/>
      <c r="F224" s="238"/>
      <c r="G224" s="238"/>
      <c r="H224" s="238"/>
      <c r="I224" s="238"/>
      <c r="J224" s="238"/>
    </row>
    <row r="225" spans="1:10" x14ac:dyDescent="0.2">
      <c r="A225" s="238"/>
      <c r="B225" s="238"/>
      <c r="C225" s="238"/>
      <c r="D225" s="238"/>
      <c r="E225" s="238"/>
      <c r="F225" s="238"/>
      <c r="G225" s="238"/>
      <c r="H225" s="238"/>
      <c r="I225" s="238"/>
      <c r="J225" s="238"/>
    </row>
    <row r="226" spans="1:10" x14ac:dyDescent="0.2">
      <c r="A226" s="238"/>
      <c r="B226" s="238"/>
      <c r="C226" s="238"/>
      <c r="D226" s="238"/>
      <c r="E226" s="238"/>
      <c r="F226" s="238"/>
      <c r="G226" s="238"/>
      <c r="H226" s="238"/>
      <c r="I226" s="238"/>
      <c r="J226" s="238"/>
    </row>
    <row r="227" spans="1:10" x14ac:dyDescent="0.2">
      <c r="A227" s="238"/>
      <c r="B227" s="238"/>
      <c r="C227" s="238"/>
      <c r="D227" s="238"/>
      <c r="E227" s="238"/>
      <c r="F227" s="238"/>
      <c r="G227" s="238"/>
      <c r="H227" s="238"/>
      <c r="I227" s="238"/>
      <c r="J227" s="238"/>
    </row>
    <row r="228" spans="1:10" x14ac:dyDescent="0.2">
      <c r="A228" s="238"/>
      <c r="B228" s="238"/>
      <c r="C228" s="238"/>
      <c r="D228" s="238"/>
      <c r="E228" s="238"/>
      <c r="F228" s="238"/>
      <c r="G228" s="238"/>
      <c r="H228" s="238"/>
      <c r="I228" s="238"/>
      <c r="J228" s="238"/>
    </row>
    <row r="229" spans="1:10" x14ac:dyDescent="0.2">
      <c r="A229" s="238"/>
      <c r="B229" s="238"/>
      <c r="C229" s="238"/>
      <c r="D229" s="238"/>
      <c r="E229" s="238"/>
      <c r="F229" s="238"/>
      <c r="G229" s="238"/>
      <c r="H229" s="238"/>
      <c r="I229" s="238"/>
      <c r="J229" s="238"/>
    </row>
    <row r="230" spans="1:10" x14ac:dyDescent="0.2">
      <c r="A230" s="238"/>
      <c r="B230" s="238"/>
      <c r="C230" s="238"/>
      <c r="D230" s="238"/>
      <c r="E230" s="238"/>
      <c r="F230" s="238"/>
      <c r="G230" s="238"/>
      <c r="H230" s="238"/>
      <c r="I230" s="238"/>
      <c r="J230" s="238"/>
    </row>
    <row r="231" spans="1:10" x14ac:dyDescent="0.2">
      <c r="A231" s="238"/>
      <c r="B231" s="238"/>
      <c r="C231" s="238"/>
      <c r="D231" s="238"/>
      <c r="E231" s="238"/>
      <c r="F231" s="238"/>
      <c r="G231" s="238"/>
      <c r="H231" s="238"/>
      <c r="I231" s="238"/>
      <c r="J231" s="238"/>
    </row>
    <row r="232" spans="1:10" x14ac:dyDescent="0.2">
      <c r="A232" s="238"/>
      <c r="B232" s="238"/>
      <c r="C232" s="238"/>
      <c r="D232" s="238"/>
      <c r="E232" s="238"/>
      <c r="F232" s="238"/>
      <c r="G232" s="238"/>
      <c r="H232" s="238"/>
      <c r="I232" s="238"/>
      <c r="J232" s="238"/>
    </row>
    <row r="233" spans="1:10" x14ac:dyDescent="0.2">
      <c r="A233" s="238"/>
      <c r="B233" s="238"/>
      <c r="C233" s="238"/>
      <c r="D233" s="238"/>
      <c r="E233" s="238"/>
      <c r="F233" s="238"/>
      <c r="G233" s="238"/>
      <c r="H233" s="238"/>
      <c r="I233" s="238"/>
      <c r="J233" s="238"/>
    </row>
    <row r="234" spans="1:10" x14ac:dyDescent="0.2">
      <c r="A234" s="238"/>
      <c r="B234" s="238"/>
      <c r="C234" s="238"/>
      <c r="D234" s="238"/>
      <c r="E234" s="238"/>
      <c r="F234" s="238"/>
      <c r="G234" s="238"/>
      <c r="H234" s="238"/>
      <c r="I234" s="238"/>
      <c r="J234" s="238"/>
    </row>
    <row r="235" spans="1:10" x14ac:dyDescent="0.2">
      <c r="A235" s="238"/>
      <c r="B235" s="238"/>
      <c r="C235" s="238"/>
      <c r="D235" s="238"/>
      <c r="E235" s="238"/>
      <c r="F235" s="238"/>
      <c r="G235" s="238"/>
      <c r="H235" s="238"/>
      <c r="I235" s="238"/>
      <c r="J235" s="238"/>
    </row>
    <row r="236" spans="1:10" x14ac:dyDescent="0.2">
      <c r="A236" s="238"/>
      <c r="B236" s="238"/>
      <c r="C236" s="238"/>
      <c r="D236" s="238"/>
      <c r="E236" s="238"/>
      <c r="F236" s="238"/>
      <c r="G236" s="238"/>
      <c r="H236" s="238"/>
      <c r="I236" s="238"/>
      <c r="J236" s="238"/>
    </row>
    <row r="237" spans="1:10" x14ac:dyDescent="0.2">
      <c r="A237" s="238"/>
      <c r="B237" s="238"/>
      <c r="C237" s="238"/>
      <c r="D237" s="238"/>
      <c r="E237" s="238"/>
      <c r="F237" s="238"/>
      <c r="G237" s="238"/>
      <c r="H237" s="238"/>
      <c r="I237" s="238"/>
      <c r="J237" s="238"/>
    </row>
    <row r="238" spans="1:10" x14ac:dyDescent="0.2">
      <c r="A238" s="238"/>
      <c r="B238" s="238"/>
      <c r="C238" s="238"/>
      <c r="D238" s="238"/>
      <c r="E238" s="238"/>
      <c r="F238" s="238"/>
      <c r="G238" s="238"/>
      <c r="H238" s="238"/>
      <c r="I238" s="238"/>
      <c r="J238" s="238"/>
    </row>
    <row r="239" spans="1:10" x14ac:dyDescent="0.2">
      <c r="A239" s="238"/>
      <c r="B239" s="238"/>
      <c r="C239" s="238"/>
      <c r="D239" s="238"/>
      <c r="E239" s="238"/>
      <c r="F239" s="238"/>
      <c r="G239" s="238"/>
      <c r="H239" s="238"/>
      <c r="I239" s="238"/>
      <c r="J239" s="238"/>
    </row>
    <row r="240" spans="1:10" x14ac:dyDescent="0.2">
      <c r="A240" s="238"/>
      <c r="B240" s="238"/>
      <c r="C240" s="238"/>
      <c r="D240" s="238"/>
      <c r="E240" s="238"/>
      <c r="F240" s="238"/>
      <c r="G240" s="238"/>
      <c r="H240" s="238"/>
      <c r="I240" s="238"/>
      <c r="J240" s="238"/>
    </row>
    <row r="241" spans="1:10" x14ac:dyDescent="0.2">
      <c r="A241" s="238"/>
      <c r="B241" s="238"/>
      <c r="C241" s="238"/>
      <c r="D241" s="238"/>
      <c r="E241" s="238"/>
      <c r="F241" s="238"/>
      <c r="G241" s="238"/>
      <c r="H241" s="238"/>
      <c r="I241" s="238"/>
      <c r="J241" s="238"/>
    </row>
    <row r="242" spans="1:10" x14ac:dyDescent="0.2">
      <c r="A242" s="238"/>
      <c r="B242" s="238"/>
      <c r="C242" s="238"/>
      <c r="D242" s="238"/>
      <c r="E242" s="238"/>
      <c r="F242" s="238"/>
      <c r="G242" s="238"/>
      <c r="H242" s="238"/>
      <c r="I242" s="238"/>
      <c r="J242" s="238"/>
    </row>
    <row r="243" spans="1:10" x14ac:dyDescent="0.2">
      <c r="A243" s="238"/>
      <c r="B243" s="238"/>
      <c r="C243" s="238"/>
      <c r="D243" s="238"/>
      <c r="E243" s="238"/>
      <c r="F243" s="238"/>
      <c r="G243" s="238"/>
      <c r="H243" s="238"/>
      <c r="I243" s="238"/>
      <c r="J243" s="238"/>
    </row>
    <row r="244" spans="1:10" x14ac:dyDescent="0.2">
      <c r="A244" s="238"/>
      <c r="B244" s="238"/>
      <c r="C244" s="238"/>
      <c r="D244" s="238"/>
      <c r="E244" s="238"/>
      <c r="F244" s="238"/>
      <c r="G244" s="238"/>
      <c r="H244" s="238"/>
      <c r="I244" s="238"/>
      <c r="J244" s="238"/>
    </row>
    <row r="245" spans="1:10" x14ac:dyDescent="0.2">
      <c r="A245" s="238"/>
      <c r="B245" s="238"/>
      <c r="C245" s="238"/>
      <c r="D245" s="238"/>
      <c r="E245" s="238"/>
      <c r="F245" s="238"/>
      <c r="G245" s="238"/>
      <c r="H245" s="238"/>
      <c r="I245" s="238"/>
      <c r="J245" s="238"/>
    </row>
    <row r="246" spans="1:10" x14ac:dyDescent="0.2">
      <c r="A246" s="238"/>
      <c r="B246" s="238"/>
      <c r="C246" s="238"/>
      <c r="D246" s="238"/>
      <c r="E246" s="238"/>
      <c r="F246" s="238"/>
      <c r="G246" s="238"/>
      <c r="H246" s="238"/>
      <c r="I246" s="238"/>
      <c r="J246" s="238"/>
    </row>
    <row r="247" spans="1:10" x14ac:dyDescent="0.2">
      <c r="A247" s="238"/>
      <c r="B247" s="238"/>
      <c r="C247" s="238"/>
      <c r="D247" s="238"/>
      <c r="E247" s="238"/>
      <c r="F247" s="238"/>
      <c r="G247" s="238"/>
      <c r="H247" s="238"/>
      <c r="I247" s="238"/>
      <c r="J247" s="238"/>
    </row>
    <row r="248" spans="1:10" x14ac:dyDescent="0.2">
      <c r="A248" s="238"/>
      <c r="B248" s="238"/>
      <c r="C248" s="238"/>
      <c r="D248" s="238"/>
      <c r="E248" s="238"/>
      <c r="F248" s="238"/>
      <c r="G248" s="238"/>
      <c r="H248" s="238"/>
      <c r="I248" s="238"/>
      <c r="J248" s="238"/>
    </row>
    <row r="249" spans="1:10" x14ac:dyDescent="0.2">
      <c r="A249" s="238"/>
      <c r="B249" s="238"/>
      <c r="C249" s="238"/>
      <c r="D249" s="238"/>
      <c r="E249" s="238"/>
      <c r="F249" s="238"/>
      <c r="G249" s="238"/>
      <c r="H249" s="238"/>
      <c r="I249" s="238"/>
      <c r="J249" s="238"/>
    </row>
    <row r="250" spans="1:10" x14ac:dyDescent="0.2">
      <c r="A250" s="238"/>
      <c r="B250" s="238"/>
      <c r="C250" s="238"/>
      <c r="D250" s="238"/>
      <c r="E250" s="238"/>
      <c r="F250" s="238"/>
      <c r="G250" s="238"/>
      <c r="H250" s="238"/>
      <c r="I250" s="238"/>
      <c r="J250" s="238"/>
    </row>
    <row r="251" spans="1:10" x14ac:dyDescent="0.2">
      <c r="A251" s="238"/>
      <c r="B251" s="238"/>
      <c r="C251" s="238"/>
      <c r="D251" s="238"/>
      <c r="E251" s="238"/>
      <c r="F251" s="238"/>
      <c r="G251" s="238"/>
      <c r="H251" s="238"/>
      <c r="I251" s="238"/>
      <c r="J251" s="238"/>
    </row>
    <row r="252" spans="1:10" x14ac:dyDescent="0.2">
      <c r="A252" s="238"/>
      <c r="B252" s="238"/>
      <c r="C252" s="238"/>
      <c r="D252" s="238"/>
      <c r="E252" s="238"/>
      <c r="F252" s="238"/>
      <c r="G252" s="238"/>
      <c r="H252" s="238"/>
      <c r="I252" s="238"/>
      <c r="J252" s="238"/>
    </row>
    <row r="253" spans="1:10" x14ac:dyDescent="0.2">
      <c r="A253" s="238"/>
      <c r="B253" s="238"/>
      <c r="C253" s="238"/>
      <c r="D253" s="238"/>
      <c r="E253" s="238"/>
      <c r="F253" s="238"/>
      <c r="G253" s="238"/>
      <c r="H253" s="238"/>
      <c r="I253" s="238"/>
      <c r="J253" s="238"/>
    </row>
    <row r="254" spans="1:10" x14ac:dyDescent="0.2">
      <c r="A254" s="238"/>
      <c r="B254" s="238"/>
      <c r="C254" s="238"/>
      <c r="D254" s="238"/>
      <c r="E254" s="238"/>
      <c r="F254" s="238"/>
      <c r="G254" s="238"/>
      <c r="H254" s="238"/>
      <c r="I254" s="238"/>
      <c r="J254" s="238"/>
    </row>
  </sheetData>
  <sheetProtection password="C5D1" sheet="1" objects="1" scenarios="1"/>
  <mergeCells count="29">
    <mergeCell ref="B1:K1"/>
    <mergeCell ref="B2:K2"/>
    <mergeCell ref="F4:H4"/>
    <mergeCell ref="F5:H5"/>
    <mergeCell ref="B21:H23"/>
    <mergeCell ref="B7:J7"/>
    <mergeCell ref="C10:F10"/>
    <mergeCell ref="H10:J10"/>
    <mergeCell ref="C11:F11"/>
    <mergeCell ref="H11:J11"/>
    <mergeCell ref="C9:F9"/>
    <mergeCell ref="H9:J9"/>
    <mergeCell ref="H18:J18"/>
    <mergeCell ref="E25:J28"/>
    <mergeCell ref="C12:F12"/>
    <mergeCell ref="H12:J12"/>
    <mergeCell ref="C18:F18"/>
    <mergeCell ref="C17:F17"/>
    <mergeCell ref="H17:J17"/>
    <mergeCell ref="C19:F19"/>
    <mergeCell ref="H19:J19"/>
    <mergeCell ref="C14:F14"/>
    <mergeCell ref="H14:J14"/>
    <mergeCell ref="C15:F15"/>
    <mergeCell ref="H15:J15"/>
    <mergeCell ref="C16:F16"/>
    <mergeCell ref="H16:J16"/>
    <mergeCell ref="C13:F13"/>
    <mergeCell ref="H13:J13"/>
  </mergeCells>
  <pageMargins left="0.75" right="0.75" top="0.5" bottom="1" header="0.5" footer="0.5"/>
  <pageSetup scale="76" orientation="portrait" r:id="rId1"/>
  <headerFooter alignWithMargins="0">
    <oddFooter>&amp;L&amp;8© C-IDEA, The University of Oklahoma, 12/14/14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19"/>
  <sheetViews>
    <sheetView showGridLines="0" zoomScaleNormal="100" zoomScaleSheetLayoutView="90" workbookViewId="0">
      <selection activeCell="AE1" sqref="AE1"/>
    </sheetView>
  </sheetViews>
  <sheetFormatPr defaultColWidth="9.140625" defaultRowHeight="12.75" x14ac:dyDescent="0.2"/>
  <cols>
    <col min="1" max="10" width="9.140625" style="238"/>
    <col min="11" max="11" width="1.42578125" style="238" customWidth="1"/>
    <col min="12" max="12" width="7.5703125" style="238" customWidth="1"/>
    <col min="13" max="16384" width="9.140625" style="238"/>
  </cols>
  <sheetData>
    <row r="1" spans="1:12" ht="38.25" customHeight="1" x14ac:dyDescent="0.25">
      <c r="A1" s="380" t="s">
        <v>763</v>
      </c>
      <c r="B1" s="380"/>
      <c r="C1" s="380"/>
      <c r="D1" s="380"/>
      <c r="E1" s="380"/>
      <c r="F1" s="380"/>
      <c r="G1" s="380"/>
      <c r="H1" s="380"/>
      <c r="I1" s="380"/>
      <c r="J1" s="380"/>
      <c r="K1" s="380"/>
      <c r="L1" s="380"/>
    </row>
    <row r="2" spans="1:12" ht="22.5" customHeight="1" x14ac:dyDescent="0.2"/>
    <row r="7" spans="1:12" ht="12.75" customHeight="1" x14ac:dyDescent="0.2"/>
    <row r="13" spans="1:12" ht="12.75" customHeight="1" x14ac:dyDescent="0.2"/>
    <row r="17" ht="12.75" customHeight="1" x14ac:dyDescent="0.2"/>
    <row r="19" ht="12.75" customHeight="1" x14ac:dyDescent="0.2"/>
  </sheetData>
  <sheetProtection password="C5D1" sheet="1" objects="1" scenarios="1"/>
  <mergeCells count="1">
    <mergeCell ref="A1:L1"/>
  </mergeCells>
  <pageMargins left="0.83" right="0.6" top="0.5" bottom="0.69" header="10.199999999999999" footer="0.25"/>
  <pageSetup scale="83" orientation="portrait" r:id="rId1"/>
  <headerFooter alignWithMargins="0">
    <oddFooter>&amp;L&amp;8© C-IDEA, The University of Oklahoma, 12/14/14</oddFooter>
  </headerFooter>
  <rowBreaks count="1" manualBreakCount="1">
    <brk id="65"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D22"/>
  <sheetViews>
    <sheetView zoomScaleNormal="100" workbookViewId="0">
      <selection sqref="A1:AD1"/>
    </sheetView>
  </sheetViews>
  <sheetFormatPr defaultRowHeight="12.75" x14ac:dyDescent="0.2"/>
  <cols>
    <col min="1" max="1" width="4.28515625" style="176" customWidth="1"/>
    <col min="2" max="2" width="5.140625" style="176" customWidth="1"/>
    <col min="3" max="3" width="5.28515625" style="176" customWidth="1"/>
    <col min="4" max="4" width="0.28515625" style="176" customWidth="1"/>
    <col min="5" max="6" width="6.5703125" style="176" customWidth="1"/>
    <col min="7" max="7" width="0.28515625" style="176" customWidth="1"/>
    <col min="8" max="9" width="6.5703125" style="176" customWidth="1"/>
    <col min="10" max="10" width="0.28515625" style="176" customWidth="1"/>
    <col min="11" max="11" width="6.7109375" style="176" customWidth="1"/>
    <col min="12" max="12" width="6.5703125" style="176" customWidth="1"/>
    <col min="13" max="13" width="0.28515625" style="176" customWidth="1"/>
    <col min="14" max="14" width="6.7109375" style="176" customWidth="1"/>
    <col min="15" max="15" width="6.5703125" style="176" customWidth="1"/>
    <col min="16" max="16" width="0.28515625" style="176" customWidth="1"/>
    <col min="17" max="17" width="6.7109375" style="176" customWidth="1"/>
    <col min="18" max="18" width="6.5703125" style="176" customWidth="1"/>
    <col min="19" max="19" width="0.28515625" style="176" customWidth="1"/>
    <col min="20" max="20" width="6.7109375" style="176" customWidth="1"/>
    <col min="21" max="21" width="6.5703125" style="176" customWidth="1"/>
    <col min="22" max="22" width="0.28515625" style="176" customWidth="1"/>
    <col min="23" max="23" width="6.7109375" style="176" customWidth="1"/>
    <col min="24" max="24" width="6.5703125" style="176" customWidth="1"/>
    <col min="25" max="25" width="0.28515625" style="176" customWidth="1"/>
    <col min="26" max="26" width="6.7109375" style="176" customWidth="1"/>
    <col min="27" max="27" width="6.5703125" style="176" customWidth="1"/>
    <col min="28" max="28" width="0.28515625" style="176" customWidth="1"/>
    <col min="29" max="29" width="6.7109375" style="176" customWidth="1"/>
    <col min="30" max="30" width="6.5703125" style="176" customWidth="1"/>
    <col min="31" max="256" width="9.140625" style="176"/>
    <col min="257" max="257" width="4.28515625" style="176" customWidth="1"/>
    <col min="258" max="258" width="5.140625" style="176" customWidth="1"/>
    <col min="259" max="259" width="5.28515625" style="176" customWidth="1"/>
    <col min="260" max="260" width="0.28515625" style="176" customWidth="1"/>
    <col min="261" max="262" width="6.5703125" style="176" customWidth="1"/>
    <col min="263" max="263" width="0.28515625" style="176" customWidth="1"/>
    <col min="264" max="265" width="6.5703125" style="176" customWidth="1"/>
    <col min="266" max="266" width="0.28515625" style="176" customWidth="1"/>
    <col min="267" max="267" width="6.7109375" style="176" customWidth="1"/>
    <col min="268" max="268" width="6.5703125" style="176" customWidth="1"/>
    <col min="269" max="269" width="0.28515625" style="176" customWidth="1"/>
    <col min="270" max="270" width="6.7109375" style="176" customWidth="1"/>
    <col min="271" max="271" width="6.5703125" style="176" customWidth="1"/>
    <col min="272" max="272" width="0.28515625" style="176" customWidth="1"/>
    <col min="273" max="273" width="6.7109375" style="176" customWidth="1"/>
    <col min="274" max="274" width="6.5703125" style="176" customWidth="1"/>
    <col min="275" max="275" width="0.28515625" style="176" customWidth="1"/>
    <col min="276" max="276" width="6.7109375" style="176" customWidth="1"/>
    <col min="277" max="277" width="6.5703125" style="176" customWidth="1"/>
    <col min="278" max="278" width="0.28515625" style="176" customWidth="1"/>
    <col min="279" max="279" width="6.7109375" style="176" customWidth="1"/>
    <col min="280" max="280" width="6.5703125" style="176" customWidth="1"/>
    <col min="281" max="281" width="0.28515625" style="176" customWidth="1"/>
    <col min="282" max="282" width="6.7109375" style="176" customWidth="1"/>
    <col min="283" max="283" width="6.5703125" style="176" customWidth="1"/>
    <col min="284" max="284" width="0.28515625" style="176" customWidth="1"/>
    <col min="285" max="285" width="6.7109375" style="176" customWidth="1"/>
    <col min="286" max="286" width="6.5703125" style="176" customWidth="1"/>
    <col min="287" max="512" width="9.140625" style="176"/>
    <col min="513" max="513" width="4.28515625" style="176" customWidth="1"/>
    <col min="514" max="514" width="5.140625" style="176" customWidth="1"/>
    <col min="515" max="515" width="5.28515625" style="176" customWidth="1"/>
    <col min="516" max="516" width="0.28515625" style="176" customWidth="1"/>
    <col min="517" max="518" width="6.5703125" style="176" customWidth="1"/>
    <col min="519" max="519" width="0.28515625" style="176" customWidth="1"/>
    <col min="520" max="521" width="6.5703125" style="176" customWidth="1"/>
    <col min="522" max="522" width="0.28515625" style="176" customWidth="1"/>
    <col min="523" max="523" width="6.7109375" style="176" customWidth="1"/>
    <col min="524" max="524" width="6.5703125" style="176" customWidth="1"/>
    <col min="525" max="525" width="0.28515625" style="176" customWidth="1"/>
    <col min="526" max="526" width="6.7109375" style="176" customWidth="1"/>
    <col min="527" max="527" width="6.5703125" style="176" customWidth="1"/>
    <col min="528" max="528" width="0.28515625" style="176" customWidth="1"/>
    <col min="529" max="529" width="6.7109375" style="176" customWidth="1"/>
    <col min="530" max="530" width="6.5703125" style="176" customWidth="1"/>
    <col min="531" max="531" width="0.28515625" style="176" customWidth="1"/>
    <col min="532" max="532" width="6.7109375" style="176" customWidth="1"/>
    <col min="533" max="533" width="6.5703125" style="176" customWidth="1"/>
    <col min="534" max="534" width="0.28515625" style="176" customWidth="1"/>
    <col min="535" max="535" width="6.7109375" style="176" customWidth="1"/>
    <col min="536" max="536" width="6.5703125" style="176" customWidth="1"/>
    <col min="537" max="537" width="0.28515625" style="176" customWidth="1"/>
    <col min="538" max="538" width="6.7109375" style="176" customWidth="1"/>
    <col min="539" max="539" width="6.5703125" style="176" customWidth="1"/>
    <col min="540" max="540" width="0.28515625" style="176" customWidth="1"/>
    <col min="541" max="541" width="6.7109375" style="176" customWidth="1"/>
    <col min="542" max="542" width="6.5703125" style="176" customWidth="1"/>
    <col min="543" max="768" width="9.140625" style="176"/>
    <col min="769" max="769" width="4.28515625" style="176" customWidth="1"/>
    <col min="770" max="770" width="5.140625" style="176" customWidth="1"/>
    <col min="771" max="771" width="5.28515625" style="176" customWidth="1"/>
    <col min="772" max="772" width="0.28515625" style="176" customWidth="1"/>
    <col min="773" max="774" width="6.5703125" style="176" customWidth="1"/>
    <col min="775" max="775" width="0.28515625" style="176" customWidth="1"/>
    <col min="776" max="777" width="6.5703125" style="176" customWidth="1"/>
    <col min="778" max="778" width="0.28515625" style="176" customWidth="1"/>
    <col min="779" max="779" width="6.7109375" style="176" customWidth="1"/>
    <col min="780" max="780" width="6.5703125" style="176" customWidth="1"/>
    <col min="781" max="781" width="0.28515625" style="176" customWidth="1"/>
    <col min="782" max="782" width="6.7109375" style="176" customWidth="1"/>
    <col min="783" max="783" width="6.5703125" style="176" customWidth="1"/>
    <col min="784" max="784" width="0.28515625" style="176" customWidth="1"/>
    <col min="785" max="785" width="6.7109375" style="176" customWidth="1"/>
    <col min="786" max="786" width="6.5703125" style="176" customWidth="1"/>
    <col min="787" max="787" width="0.28515625" style="176" customWidth="1"/>
    <col min="788" max="788" width="6.7109375" style="176" customWidth="1"/>
    <col min="789" max="789" width="6.5703125" style="176" customWidth="1"/>
    <col min="790" max="790" width="0.28515625" style="176" customWidth="1"/>
    <col min="791" max="791" width="6.7109375" style="176" customWidth="1"/>
    <col min="792" max="792" width="6.5703125" style="176" customWidth="1"/>
    <col min="793" max="793" width="0.28515625" style="176" customWidth="1"/>
    <col min="794" max="794" width="6.7109375" style="176" customWidth="1"/>
    <col min="795" max="795" width="6.5703125" style="176" customWidth="1"/>
    <col min="796" max="796" width="0.28515625" style="176" customWidth="1"/>
    <col min="797" max="797" width="6.7109375" style="176" customWidth="1"/>
    <col min="798" max="798" width="6.5703125" style="176" customWidth="1"/>
    <col min="799" max="1024" width="9.140625" style="176"/>
    <col min="1025" max="1025" width="4.28515625" style="176" customWidth="1"/>
    <col min="1026" max="1026" width="5.140625" style="176" customWidth="1"/>
    <col min="1027" max="1027" width="5.28515625" style="176" customWidth="1"/>
    <col min="1028" max="1028" width="0.28515625" style="176" customWidth="1"/>
    <col min="1029" max="1030" width="6.5703125" style="176" customWidth="1"/>
    <col min="1031" max="1031" width="0.28515625" style="176" customWidth="1"/>
    <col min="1032" max="1033" width="6.5703125" style="176" customWidth="1"/>
    <col min="1034" max="1034" width="0.28515625" style="176" customWidth="1"/>
    <col min="1035" max="1035" width="6.7109375" style="176" customWidth="1"/>
    <col min="1036" max="1036" width="6.5703125" style="176" customWidth="1"/>
    <col min="1037" max="1037" width="0.28515625" style="176" customWidth="1"/>
    <col min="1038" max="1038" width="6.7109375" style="176" customWidth="1"/>
    <col min="1039" max="1039" width="6.5703125" style="176" customWidth="1"/>
    <col min="1040" max="1040" width="0.28515625" style="176" customWidth="1"/>
    <col min="1041" max="1041" width="6.7109375" style="176" customWidth="1"/>
    <col min="1042" max="1042" width="6.5703125" style="176" customWidth="1"/>
    <col min="1043" max="1043" width="0.28515625" style="176" customWidth="1"/>
    <col min="1044" max="1044" width="6.7109375" style="176" customWidth="1"/>
    <col min="1045" max="1045" width="6.5703125" style="176" customWidth="1"/>
    <col min="1046" max="1046" width="0.28515625" style="176" customWidth="1"/>
    <col min="1047" max="1047" width="6.7109375" style="176" customWidth="1"/>
    <col min="1048" max="1048" width="6.5703125" style="176" customWidth="1"/>
    <col min="1049" max="1049" width="0.28515625" style="176" customWidth="1"/>
    <col min="1050" max="1050" width="6.7109375" style="176" customWidth="1"/>
    <col min="1051" max="1051" width="6.5703125" style="176" customWidth="1"/>
    <col min="1052" max="1052" width="0.28515625" style="176" customWidth="1"/>
    <col min="1053" max="1053" width="6.7109375" style="176" customWidth="1"/>
    <col min="1054" max="1054" width="6.5703125" style="176" customWidth="1"/>
    <col min="1055" max="1280" width="9.140625" style="176"/>
    <col min="1281" max="1281" width="4.28515625" style="176" customWidth="1"/>
    <col min="1282" max="1282" width="5.140625" style="176" customWidth="1"/>
    <col min="1283" max="1283" width="5.28515625" style="176" customWidth="1"/>
    <col min="1284" max="1284" width="0.28515625" style="176" customWidth="1"/>
    <col min="1285" max="1286" width="6.5703125" style="176" customWidth="1"/>
    <col min="1287" max="1287" width="0.28515625" style="176" customWidth="1"/>
    <col min="1288" max="1289" width="6.5703125" style="176" customWidth="1"/>
    <col min="1290" max="1290" width="0.28515625" style="176" customWidth="1"/>
    <col min="1291" max="1291" width="6.7109375" style="176" customWidth="1"/>
    <col min="1292" max="1292" width="6.5703125" style="176" customWidth="1"/>
    <col min="1293" max="1293" width="0.28515625" style="176" customWidth="1"/>
    <col min="1294" max="1294" width="6.7109375" style="176" customWidth="1"/>
    <col min="1295" max="1295" width="6.5703125" style="176" customWidth="1"/>
    <col min="1296" max="1296" width="0.28515625" style="176" customWidth="1"/>
    <col min="1297" max="1297" width="6.7109375" style="176" customWidth="1"/>
    <col min="1298" max="1298" width="6.5703125" style="176" customWidth="1"/>
    <col min="1299" max="1299" width="0.28515625" style="176" customWidth="1"/>
    <col min="1300" max="1300" width="6.7109375" style="176" customWidth="1"/>
    <col min="1301" max="1301" width="6.5703125" style="176" customWidth="1"/>
    <col min="1302" max="1302" width="0.28515625" style="176" customWidth="1"/>
    <col min="1303" max="1303" width="6.7109375" style="176" customWidth="1"/>
    <col min="1304" max="1304" width="6.5703125" style="176" customWidth="1"/>
    <col min="1305" max="1305" width="0.28515625" style="176" customWidth="1"/>
    <col min="1306" max="1306" width="6.7109375" style="176" customWidth="1"/>
    <col min="1307" max="1307" width="6.5703125" style="176" customWidth="1"/>
    <col min="1308" max="1308" width="0.28515625" style="176" customWidth="1"/>
    <col min="1309" max="1309" width="6.7109375" style="176" customWidth="1"/>
    <col min="1310" max="1310" width="6.5703125" style="176" customWidth="1"/>
    <col min="1311" max="1536" width="9.140625" style="176"/>
    <col min="1537" max="1537" width="4.28515625" style="176" customWidth="1"/>
    <col min="1538" max="1538" width="5.140625" style="176" customWidth="1"/>
    <col min="1539" max="1539" width="5.28515625" style="176" customWidth="1"/>
    <col min="1540" max="1540" width="0.28515625" style="176" customWidth="1"/>
    <col min="1541" max="1542" width="6.5703125" style="176" customWidth="1"/>
    <col min="1543" max="1543" width="0.28515625" style="176" customWidth="1"/>
    <col min="1544" max="1545" width="6.5703125" style="176" customWidth="1"/>
    <col min="1546" max="1546" width="0.28515625" style="176" customWidth="1"/>
    <col min="1547" max="1547" width="6.7109375" style="176" customWidth="1"/>
    <col min="1548" max="1548" width="6.5703125" style="176" customWidth="1"/>
    <col min="1549" max="1549" width="0.28515625" style="176" customWidth="1"/>
    <col min="1550" max="1550" width="6.7109375" style="176" customWidth="1"/>
    <col min="1551" max="1551" width="6.5703125" style="176" customWidth="1"/>
    <col min="1552" max="1552" width="0.28515625" style="176" customWidth="1"/>
    <col min="1553" max="1553" width="6.7109375" style="176" customWidth="1"/>
    <col min="1554" max="1554" width="6.5703125" style="176" customWidth="1"/>
    <col min="1555" max="1555" width="0.28515625" style="176" customWidth="1"/>
    <col min="1556" max="1556" width="6.7109375" style="176" customWidth="1"/>
    <col min="1557" max="1557" width="6.5703125" style="176" customWidth="1"/>
    <col min="1558" max="1558" width="0.28515625" style="176" customWidth="1"/>
    <col min="1559" max="1559" width="6.7109375" style="176" customWidth="1"/>
    <col min="1560" max="1560" width="6.5703125" style="176" customWidth="1"/>
    <col min="1561" max="1561" width="0.28515625" style="176" customWidth="1"/>
    <col min="1562" max="1562" width="6.7109375" style="176" customWidth="1"/>
    <col min="1563" max="1563" width="6.5703125" style="176" customWidth="1"/>
    <col min="1564" max="1564" width="0.28515625" style="176" customWidth="1"/>
    <col min="1565" max="1565" width="6.7109375" style="176" customWidth="1"/>
    <col min="1566" max="1566" width="6.5703125" style="176" customWidth="1"/>
    <col min="1567" max="1792" width="9.140625" style="176"/>
    <col min="1793" max="1793" width="4.28515625" style="176" customWidth="1"/>
    <col min="1794" max="1794" width="5.140625" style="176" customWidth="1"/>
    <col min="1795" max="1795" width="5.28515625" style="176" customWidth="1"/>
    <col min="1796" max="1796" width="0.28515625" style="176" customWidth="1"/>
    <col min="1797" max="1798" width="6.5703125" style="176" customWidth="1"/>
    <col min="1799" max="1799" width="0.28515625" style="176" customWidth="1"/>
    <col min="1800" max="1801" width="6.5703125" style="176" customWidth="1"/>
    <col min="1802" max="1802" width="0.28515625" style="176" customWidth="1"/>
    <col min="1803" max="1803" width="6.7109375" style="176" customWidth="1"/>
    <col min="1804" max="1804" width="6.5703125" style="176" customWidth="1"/>
    <col min="1805" max="1805" width="0.28515625" style="176" customWidth="1"/>
    <col min="1806" max="1806" width="6.7109375" style="176" customWidth="1"/>
    <col min="1807" max="1807" width="6.5703125" style="176" customWidth="1"/>
    <col min="1808" max="1808" width="0.28515625" style="176" customWidth="1"/>
    <col min="1809" max="1809" width="6.7109375" style="176" customWidth="1"/>
    <col min="1810" max="1810" width="6.5703125" style="176" customWidth="1"/>
    <col min="1811" max="1811" width="0.28515625" style="176" customWidth="1"/>
    <col min="1812" max="1812" width="6.7109375" style="176" customWidth="1"/>
    <col min="1813" max="1813" width="6.5703125" style="176" customWidth="1"/>
    <col min="1814" max="1814" width="0.28515625" style="176" customWidth="1"/>
    <col min="1815" max="1815" width="6.7109375" style="176" customWidth="1"/>
    <col min="1816" max="1816" width="6.5703125" style="176" customWidth="1"/>
    <col min="1817" max="1817" width="0.28515625" style="176" customWidth="1"/>
    <col min="1818" max="1818" width="6.7109375" style="176" customWidth="1"/>
    <col min="1819" max="1819" width="6.5703125" style="176" customWidth="1"/>
    <col min="1820" max="1820" width="0.28515625" style="176" customWidth="1"/>
    <col min="1821" max="1821" width="6.7109375" style="176" customWidth="1"/>
    <col min="1822" max="1822" width="6.5703125" style="176" customWidth="1"/>
    <col min="1823" max="2048" width="9.140625" style="176"/>
    <col min="2049" max="2049" width="4.28515625" style="176" customWidth="1"/>
    <col min="2050" max="2050" width="5.140625" style="176" customWidth="1"/>
    <col min="2051" max="2051" width="5.28515625" style="176" customWidth="1"/>
    <col min="2052" max="2052" width="0.28515625" style="176" customWidth="1"/>
    <col min="2053" max="2054" width="6.5703125" style="176" customWidth="1"/>
    <col min="2055" max="2055" width="0.28515625" style="176" customWidth="1"/>
    <col min="2056" max="2057" width="6.5703125" style="176" customWidth="1"/>
    <col min="2058" max="2058" width="0.28515625" style="176" customWidth="1"/>
    <col min="2059" max="2059" width="6.7109375" style="176" customWidth="1"/>
    <col min="2060" max="2060" width="6.5703125" style="176" customWidth="1"/>
    <col min="2061" max="2061" width="0.28515625" style="176" customWidth="1"/>
    <col min="2062" max="2062" width="6.7109375" style="176" customWidth="1"/>
    <col min="2063" max="2063" width="6.5703125" style="176" customWidth="1"/>
    <col min="2064" max="2064" width="0.28515625" style="176" customWidth="1"/>
    <col min="2065" max="2065" width="6.7109375" style="176" customWidth="1"/>
    <col min="2066" max="2066" width="6.5703125" style="176" customWidth="1"/>
    <col min="2067" max="2067" width="0.28515625" style="176" customWidth="1"/>
    <col min="2068" max="2068" width="6.7109375" style="176" customWidth="1"/>
    <col min="2069" max="2069" width="6.5703125" style="176" customWidth="1"/>
    <col min="2070" max="2070" width="0.28515625" style="176" customWidth="1"/>
    <col min="2071" max="2071" width="6.7109375" style="176" customWidth="1"/>
    <col min="2072" max="2072" width="6.5703125" style="176" customWidth="1"/>
    <col min="2073" max="2073" width="0.28515625" style="176" customWidth="1"/>
    <col min="2074" max="2074" width="6.7109375" style="176" customWidth="1"/>
    <col min="2075" max="2075" width="6.5703125" style="176" customWidth="1"/>
    <col min="2076" max="2076" width="0.28515625" style="176" customWidth="1"/>
    <col min="2077" max="2077" width="6.7109375" style="176" customWidth="1"/>
    <col min="2078" max="2078" width="6.5703125" style="176" customWidth="1"/>
    <col min="2079" max="2304" width="9.140625" style="176"/>
    <col min="2305" max="2305" width="4.28515625" style="176" customWidth="1"/>
    <col min="2306" max="2306" width="5.140625" style="176" customWidth="1"/>
    <col min="2307" max="2307" width="5.28515625" style="176" customWidth="1"/>
    <col min="2308" max="2308" width="0.28515625" style="176" customWidth="1"/>
    <col min="2309" max="2310" width="6.5703125" style="176" customWidth="1"/>
    <col min="2311" max="2311" width="0.28515625" style="176" customWidth="1"/>
    <col min="2312" max="2313" width="6.5703125" style="176" customWidth="1"/>
    <col min="2314" max="2314" width="0.28515625" style="176" customWidth="1"/>
    <col min="2315" max="2315" width="6.7109375" style="176" customWidth="1"/>
    <col min="2316" max="2316" width="6.5703125" style="176" customWidth="1"/>
    <col min="2317" max="2317" width="0.28515625" style="176" customWidth="1"/>
    <col min="2318" max="2318" width="6.7109375" style="176" customWidth="1"/>
    <col min="2319" max="2319" width="6.5703125" style="176" customWidth="1"/>
    <col min="2320" max="2320" width="0.28515625" style="176" customWidth="1"/>
    <col min="2321" max="2321" width="6.7109375" style="176" customWidth="1"/>
    <col min="2322" max="2322" width="6.5703125" style="176" customWidth="1"/>
    <col min="2323" max="2323" width="0.28515625" style="176" customWidth="1"/>
    <col min="2324" max="2324" width="6.7109375" style="176" customWidth="1"/>
    <col min="2325" max="2325" width="6.5703125" style="176" customWidth="1"/>
    <col min="2326" max="2326" width="0.28515625" style="176" customWidth="1"/>
    <col min="2327" max="2327" width="6.7109375" style="176" customWidth="1"/>
    <col min="2328" max="2328" width="6.5703125" style="176" customWidth="1"/>
    <col min="2329" max="2329" width="0.28515625" style="176" customWidth="1"/>
    <col min="2330" max="2330" width="6.7109375" style="176" customWidth="1"/>
    <col min="2331" max="2331" width="6.5703125" style="176" customWidth="1"/>
    <col min="2332" max="2332" width="0.28515625" style="176" customWidth="1"/>
    <col min="2333" max="2333" width="6.7109375" style="176" customWidth="1"/>
    <col min="2334" max="2334" width="6.5703125" style="176" customWidth="1"/>
    <col min="2335" max="2560" width="9.140625" style="176"/>
    <col min="2561" max="2561" width="4.28515625" style="176" customWidth="1"/>
    <col min="2562" max="2562" width="5.140625" style="176" customWidth="1"/>
    <col min="2563" max="2563" width="5.28515625" style="176" customWidth="1"/>
    <col min="2564" max="2564" width="0.28515625" style="176" customWidth="1"/>
    <col min="2565" max="2566" width="6.5703125" style="176" customWidth="1"/>
    <col min="2567" max="2567" width="0.28515625" style="176" customWidth="1"/>
    <col min="2568" max="2569" width="6.5703125" style="176" customWidth="1"/>
    <col min="2570" max="2570" width="0.28515625" style="176" customWidth="1"/>
    <col min="2571" max="2571" width="6.7109375" style="176" customWidth="1"/>
    <col min="2572" max="2572" width="6.5703125" style="176" customWidth="1"/>
    <col min="2573" max="2573" width="0.28515625" style="176" customWidth="1"/>
    <col min="2574" max="2574" width="6.7109375" style="176" customWidth="1"/>
    <col min="2575" max="2575" width="6.5703125" style="176" customWidth="1"/>
    <col min="2576" max="2576" width="0.28515625" style="176" customWidth="1"/>
    <col min="2577" max="2577" width="6.7109375" style="176" customWidth="1"/>
    <col min="2578" max="2578" width="6.5703125" style="176" customWidth="1"/>
    <col min="2579" max="2579" width="0.28515625" style="176" customWidth="1"/>
    <col min="2580" max="2580" width="6.7109375" style="176" customWidth="1"/>
    <col min="2581" max="2581" width="6.5703125" style="176" customWidth="1"/>
    <col min="2582" max="2582" width="0.28515625" style="176" customWidth="1"/>
    <col min="2583" max="2583" width="6.7109375" style="176" customWidth="1"/>
    <col min="2584" max="2584" width="6.5703125" style="176" customWidth="1"/>
    <col min="2585" max="2585" width="0.28515625" style="176" customWidth="1"/>
    <col min="2586" max="2586" width="6.7109375" style="176" customWidth="1"/>
    <col min="2587" max="2587" width="6.5703125" style="176" customWidth="1"/>
    <col min="2588" max="2588" width="0.28515625" style="176" customWidth="1"/>
    <col min="2589" max="2589" width="6.7109375" style="176" customWidth="1"/>
    <col min="2590" max="2590" width="6.5703125" style="176" customWidth="1"/>
    <col min="2591" max="2816" width="9.140625" style="176"/>
    <col min="2817" max="2817" width="4.28515625" style="176" customWidth="1"/>
    <col min="2818" max="2818" width="5.140625" style="176" customWidth="1"/>
    <col min="2819" max="2819" width="5.28515625" style="176" customWidth="1"/>
    <col min="2820" max="2820" width="0.28515625" style="176" customWidth="1"/>
    <col min="2821" max="2822" width="6.5703125" style="176" customWidth="1"/>
    <col min="2823" max="2823" width="0.28515625" style="176" customWidth="1"/>
    <col min="2824" max="2825" width="6.5703125" style="176" customWidth="1"/>
    <col min="2826" max="2826" width="0.28515625" style="176" customWidth="1"/>
    <col min="2827" max="2827" width="6.7109375" style="176" customWidth="1"/>
    <col min="2828" max="2828" width="6.5703125" style="176" customWidth="1"/>
    <col min="2829" max="2829" width="0.28515625" style="176" customWidth="1"/>
    <col min="2830" max="2830" width="6.7109375" style="176" customWidth="1"/>
    <col min="2831" max="2831" width="6.5703125" style="176" customWidth="1"/>
    <col min="2832" max="2832" width="0.28515625" style="176" customWidth="1"/>
    <col min="2833" max="2833" width="6.7109375" style="176" customWidth="1"/>
    <col min="2834" max="2834" width="6.5703125" style="176" customWidth="1"/>
    <col min="2835" max="2835" width="0.28515625" style="176" customWidth="1"/>
    <col min="2836" max="2836" width="6.7109375" style="176" customWidth="1"/>
    <col min="2837" max="2837" width="6.5703125" style="176" customWidth="1"/>
    <col min="2838" max="2838" width="0.28515625" style="176" customWidth="1"/>
    <col min="2839" max="2839" width="6.7109375" style="176" customWidth="1"/>
    <col min="2840" max="2840" width="6.5703125" style="176" customWidth="1"/>
    <col min="2841" max="2841" width="0.28515625" style="176" customWidth="1"/>
    <col min="2842" max="2842" width="6.7109375" style="176" customWidth="1"/>
    <col min="2843" max="2843" width="6.5703125" style="176" customWidth="1"/>
    <col min="2844" max="2844" width="0.28515625" style="176" customWidth="1"/>
    <col min="2845" max="2845" width="6.7109375" style="176" customWidth="1"/>
    <col min="2846" max="2846" width="6.5703125" style="176" customWidth="1"/>
    <col min="2847" max="3072" width="9.140625" style="176"/>
    <col min="3073" max="3073" width="4.28515625" style="176" customWidth="1"/>
    <col min="3074" max="3074" width="5.140625" style="176" customWidth="1"/>
    <col min="3075" max="3075" width="5.28515625" style="176" customWidth="1"/>
    <col min="3076" max="3076" width="0.28515625" style="176" customWidth="1"/>
    <col min="3077" max="3078" width="6.5703125" style="176" customWidth="1"/>
    <col min="3079" max="3079" width="0.28515625" style="176" customWidth="1"/>
    <col min="3080" max="3081" width="6.5703125" style="176" customWidth="1"/>
    <col min="3082" max="3082" width="0.28515625" style="176" customWidth="1"/>
    <col min="3083" max="3083" width="6.7109375" style="176" customWidth="1"/>
    <col min="3084" max="3084" width="6.5703125" style="176" customWidth="1"/>
    <col min="3085" max="3085" width="0.28515625" style="176" customWidth="1"/>
    <col min="3086" max="3086" width="6.7109375" style="176" customWidth="1"/>
    <col min="3087" max="3087" width="6.5703125" style="176" customWidth="1"/>
    <col min="3088" max="3088" width="0.28515625" style="176" customWidth="1"/>
    <col min="3089" max="3089" width="6.7109375" style="176" customWidth="1"/>
    <col min="3090" max="3090" width="6.5703125" style="176" customWidth="1"/>
    <col min="3091" max="3091" width="0.28515625" style="176" customWidth="1"/>
    <col min="3092" max="3092" width="6.7109375" style="176" customWidth="1"/>
    <col min="3093" max="3093" width="6.5703125" style="176" customWidth="1"/>
    <col min="3094" max="3094" width="0.28515625" style="176" customWidth="1"/>
    <col min="3095" max="3095" width="6.7109375" style="176" customWidth="1"/>
    <col min="3096" max="3096" width="6.5703125" style="176" customWidth="1"/>
    <col min="3097" max="3097" width="0.28515625" style="176" customWidth="1"/>
    <col min="3098" max="3098" width="6.7109375" style="176" customWidth="1"/>
    <col min="3099" max="3099" width="6.5703125" style="176" customWidth="1"/>
    <col min="3100" max="3100" width="0.28515625" style="176" customWidth="1"/>
    <col min="3101" max="3101" width="6.7109375" style="176" customWidth="1"/>
    <col min="3102" max="3102" width="6.5703125" style="176" customWidth="1"/>
    <col min="3103" max="3328" width="9.140625" style="176"/>
    <col min="3329" max="3329" width="4.28515625" style="176" customWidth="1"/>
    <col min="3330" max="3330" width="5.140625" style="176" customWidth="1"/>
    <col min="3331" max="3331" width="5.28515625" style="176" customWidth="1"/>
    <col min="3332" max="3332" width="0.28515625" style="176" customWidth="1"/>
    <col min="3333" max="3334" width="6.5703125" style="176" customWidth="1"/>
    <col min="3335" max="3335" width="0.28515625" style="176" customWidth="1"/>
    <col min="3336" max="3337" width="6.5703125" style="176" customWidth="1"/>
    <col min="3338" max="3338" width="0.28515625" style="176" customWidth="1"/>
    <col min="3339" max="3339" width="6.7109375" style="176" customWidth="1"/>
    <col min="3340" max="3340" width="6.5703125" style="176" customWidth="1"/>
    <col min="3341" max="3341" width="0.28515625" style="176" customWidth="1"/>
    <col min="3342" max="3342" width="6.7109375" style="176" customWidth="1"/>
    <col min="3343" max="3343" width="6.5703125" style="176" customWidth="1"/>
    <col min="3344" max="3344" width="0.28515625" style="176" customWidth="1"/>
    <col min="3345" max="3345" width="6.7109375" style="176" customWidth="1"/>
    <col min="3346" max="3346" width="6.5703125" style="176" customWidth="1"/>
    <col min="3347" max="3347" width="0.28515625" style="176" customWidth="1"/>
    <col min="3348" max="3348" width="6.7109375" style="176" customWidth="1"/>
    <col min="3349" max="3349" width="6.5703125" style="176" customWidth="1"/>
    <col min="3350" max="3350" width="0.28515625" style="176" customWidth="1"/>
    <col min="3351" max="3351" width="6.7109375" style="176" customWidth="1"/>
    <col min="3352" max="3352" width="6.5703125" style="176" customWidth="1"/>
    <col min="3353" max="3353" width="0.28515625" style="176" customWidth="1"/>
    <col min="3354" max="3354" width="6.7109375" style="176" customWidth="1"/>
    <col min="3355" max="3355" width="6.5703125" style="176" customWidth="1"/>
    <col min="3356" max="3356" width="0.28515625" style="176" customWidth="1"/>
    <col min="3357" max="3357" width="6.7109375" style="176" customWidth="1"/>
    <col min="3358" max="3358" width="6.5703125" style="176" customWidth="1"/>
    <col min="3359" max="3584" width="9.140625" style="176"/>
    <col min="3585" max="3585" width="4.28515625" style="176" customWidth="1"/>
    <col min="3586" max="3586" width="5.140625" style="176" customWidth="1"/>
    <col min="3587" max="3587" width="5.28515625" style="176" customWidth="1"/>
    <col min="3588" max="3588" width="0.28515625" style="176" customWidth="1"/>
    <col min="3589" max="3590" width="6.5703125" style="176" customWidth="1"/>
    <col min="3591" max="3591" width="0.28515625" style="176" customWidth="1"/>
    <col min="3592" max="3593" width="6.5703125" style="176" customWidth="1"/>
    <col min="3594" max="3594" width="0.28515625" style="176" customWidth="1"/>
    <col min="3595" max="3595" width="6.7109375" style="176" customWidth="1"/>
    <col min="3596" max="3596" width="6.5703125" style="176" customWidth="1"/>
    <col min="3597" max="3597" width="0.28515625" style="176" customWidth="1"/>
    <col min="3598" max="3598" width="6.7109375" style="176" customWidth="1"/>
    <col min="3599" max="3599" width="6.5703125" style="176" customWidth="1"/>
    <col min="3600" max="3600" width="0.28515625" style="176" customWidth="1"/>
    <col min="3601" max="3601" width="6.7109375" style="176" customWidth="1"/>
    <col min="3602" max="3602" width="6.5703125" style="176" customWidth="1"/>
    <col min="3603" max="3603" width="0.28515625" style="176" customWidth="1"/>
    <col min="3604" max="3604" width="6.7109375" style="176" customWidth="1"/>
    <col min="3605" max="3605" width="6.5703125" style="176" customWidth="1"/>
    <col min="3606" max="3606" width="0.28515625" style="176" customWidth="1"/>
    <col min="3607" max="3607" width="6.7109375" style="176" customWidth="1"/>
    <col min="3608" max="3608" width="6.5703125" style="176" customWidth="1"/>
    <col min="3609" max="3609" width="0.28515625" style="176" customWidth="1"/>
    <col min="3610" max="3610" width="6.7109375" style="176" customWidth="1"/>
    <col min="3611" max="3611" width="6.5703125" style="176" customWidth="1"/>
    <col min="3612" max="3612" width="0.28515625" style="176" customWidth="1"/>
    <col min="3613" max="3613" width="6.7109375" style="176" customWidth="1"/>
    <col min="3614" max="3614" width="6.5703125" style="176" customWidth="1"/>
    <col min="3615" max="3840" width="9.140625" style="176"/>
    <col min="3841" max="3841" width="4.28515625" style="176" customWidth="1"/>
    <col min="3842" max="3842" width="5.140625" style="176" customWidth="1"/>
    <col min="3843" max="3843" width="5.28515625" style="176" customWidth="1"/>
    <col min="3844" max="3844" width="0.28515625" style="176" customWidth="1"/>
    <col min="3845" max="3846" width="6.5703125" style="176" customWidth="1"/>
    <col min="3847" max="3847" width="0.28515625" style="176" customWidth="1"/>
    <col min="3848" max="3849" width="6.5703125" style="176" customWidth="1"/>
    <col min="3850" max="3850" width="0.28515625" style="176" customWidth="1"/>
    <col min="3851" max="3851" width="6.7109375" style="176" customWidth="1"/>
    <col min="3852" max="3852" width="6.5703125" style="176" customWidth="1"/>
    <col min="3853" max="3853" width="0.28515625" style="176" customWidth="1"/>
    <col min="3854" max="3854" width="6.7109375" style="176" customWidth="1"/>
    <col min="3855" max="3855" width="6.5703125" style="176" customWidth="1"/>
    <col min="3856" max="3856" width="0.28515625" style="176" customWidth="1"/>
    <col min="3857" max="3857" width="6.7109375" style="176" customWidth="1"/>
    <col min="3858" max="3858" width="6.5703125" style="176" customWidth="1"/>
    <col min="3859" max="3859" width="0.28515625" style="176" customWidth="1"/>
    <col min="3860" max="3860" width="6.7109375" style="176" customWidth="1"/>
    <col min="3861" max="3861" width="6.5703125" style="176" customWidth="1"/>
    <col min="3862" max="3862" width="0.28515625" style="176" customWidth="1"/>
    <col min="3863" max="3863" width="6.7109375" style="176" customWidth="1"/>
    <col min="3864" max="3864" width="6.5703125" style="176" customWidth="1"/>
    <col min="3865" max="3865" width="0.28515625" style="176" customWidth="1"/>
    <col min="3866" max="3866" width="6.7109375" style="176" customWidth="1"/>
    <col min="3867" max="3867" width="6.5703125" style="176" customWidth="1"/>
    <col min="3868" max="3868" width="0.28515625" style="176" customWidth="1"/>
    <col min="3869" max="3869" width="6.7109375" style="176" customWidth="1"/>
    <col min="3870" max="3870" width="6.5703125" style="176" customWidth="1"/>
    <col min="3871" max="4096" width="9.140625" style="176"/>
    <col min="4097" max="4097" width="4.28515625" style="176" customWidth="1"/>
    <col min="4098" max="4098" width="5.140625" style="176" customWidth="1"/>
    <col min="4099" max="4099" width="5.28515625" style="176" customWidth="1"/>
    <col min="4100" max="4100" width="0.28515625" style="176" customWidth="1"/>
    <col min="4101" max="4102" width="6.5703125" style="176" customWidth="1"/>
    <col min="4103" max="4103" width="0.28515625" style="176" customWidth="1"/>
    <col min="4104" max="4105" width="6.5703125" style="176" customWidth="1"/>
    <col min="4106" max="4106" width="0.28515625" style="176" customWidth="1"/>
    <col min="4107" max="4107" width="6.7109375" style="176" customWidth="1"/>
    <col min="4108" max="4108" width="6.5703125" style="176" customWidth="1"/>
    <col min="4109" max="4109" width="0.28515625" style="176" customWidth="1"/>
    <col min="4110" max="4110" width="6.7109375" style="176" customWidth="1"/>
    <col min="4111" max="4111" width="6.5703125" style="176" customWidth="1"/>
    <col min="4112" max="4112" width="0.28515625" style="176" customWidth="1"/>
    <col min="4113" max="4113" width="6.7109375" style="176" customWidth="1"/>
    <col min="4114" max="4114" width="6.5703125" style="176" customWidth="1"/>
    <col min="4115" max="4115" width="0.28515625" style="176" customWidth="1"/>
    <col min="4116" max="4116" width="6.7109375" style="176" customWidth="1"/>
    <col min="4117" max="4117" width="6.5703125" style="176" customWidth="1"/>
    <col min="4118" max="4118" width="0.28515625" style="176" customWidth="1"/>
    <col min="4119" max="4119" width="6.7109375" style="176" customWidth="1"/>
    <col min="4120" max="4120" width="6.5703125" style="176" customWidth="1"/>
    <col min="4121" max="4121" width="0.28515625" style="176" customWidth="1"/>
    <col min="4122" max="4122" width="6.7109375" style="176" customWidth="1"/>
    <col min="4123" max="4123" width="6.5703125" style="176" customWidth="1"/>
    <col min="4124" max="4124" width="0.28515625" style="176" customWidth="1"/>
    <col min="4125" max="4125" width="6.7109375" style="176" customWidth="1"/>
    <col min="4126" max="4126" width="6.5703125" style="176" customWidth="1"/>
    <col min="4127" max="4352" width="9.140625" style="176"/>
    <col min="4353" max="4353" width="4.28515625" style="176" customWidth="1"/>
    <col min="4354" max="4354" width="5.140625" style="176" customWidth="1"/>
    <col min="4355" max="4355" width="5.28515625" style="176" customWidth="1"/>
    <col min="4356" max="4356" width="0.28515625" style="176" customWidth="1"/>
    <col min="4357" max="4358" width="6.5703125" style="176" customWidth="1"/>
    <col min="4359" max="4359" width="0.28515625" style="176" customWidth="1"/>
    <col min="4360" max="4361" width="6.5703125" style="176" customWidth="1"/>
    <col min="4362" max="4362" width="0.28515625" style="176" customWidth="1"/>
    <col min="4363" max="4363" width="6.7109375" style="176" customWidth="1"/>
    <col min="4364" max="4364" width="6.5703125" style="176" customWidth="1"/>
    <col min="4365" max="4365" width="0.28515625" style="176" customWidth="1"/>
    <col min="4366" max="4366" width="6.7109375" style="176" customWidth="1"/>
    <col min="4367" max="4367" width="6.5703125" style="176" customWidth="1"/>
    <col min="4368" max="4368" width="0.28515625" style="176" customWidth="1"/>
    <col min="4369" max="4369" width="6.7109375" style="176" customWidth="1"/>
    <col min="4370" max="4370" width="6.5703125" style="176" customWidth="1"/>
    <col min="4371" max="4371" width="0.28515625" style="176" customWidth="1"/>
    <col min="4372" max="4372" width="6.7109375" style="176" customWidth="1"/>
    <col min="4373" max="4373" width="6.5703125" style="176" customWidth="1"/>
    <col min="4374" max="4374" width="0.28515625" style="176" customWidth="1"/>
    <col min="4375" max="4375" width="6.7109375" style="176" customWidth="1"/>
    <col min="4376" max="4376" width="6.5703125" style="176" customWidth="1"/>
    <col min="4377" max="4377" width="0.28515625" style="176" customWidth="1"/>
    <col min="4378" max="4378" width="6.7109375" style="176" customWidth="1"/>
    <col min="4379" max="4379" width="6.5703125" style="176" customWidth="1"/>
    <col min="4380" max="4380" width="0.28515625" style="176" customWidth="1"/>
    <col min="4381" max="4381" width="6.7109375" style="176" customWidth="1"/>
    <col min="4382" max="4382" width="6.5703125" style="176" customWidth="1"/>
    <col min="4383" max="4608" width="9.140625" style="176"/>
    <col min="4609" max="4609" width="4.28515625" style="176" customWidth="1"/>
    <col min="4610" max="4610" width="5.140625" style="176" customWidth="1"/>
    <col min="4611" max="4611" width="5.28515625" style="176" customWidth="1"/>
    <col min="4612" max="4612" width="0.28515625" style="176" customWidth="1"/>
    <col min="4613" max="4614" width="6.5703125" style="176" customWidth="1"/>
    <col min="4615" max="4615" width="0.28515625" style="176" customWidth="1"/>
    <col min="4616" max="4617" width="6.5703125" style="176" customWidth="1"/>
    <col min="4618" max="4618" width="0.28515625" style="176" customWidth="1"/>
    <col min="4619" max="4619" width="6.7109375" style="176" customWidth="1"/>
    <col min="4620" max="4620" width="6.5703125" style="176" customWidth="1"/>
    <col min="4621" max="4621" width="0.28515625" style="176" customWidth="1"/>
    <col min="4622" max="4622" width="6.7109375" style="176" customWidth="1"/>
    <col min="4623" max="4623" width="6.5703125" style="176" customWidth="1"/>
    <col min="4624" max="4624" width="0.28515625" style="176" customWidth="1"/>
    <col min="4625" max="4625" width="6.7109375" style="176" customWidth="1"/>
    <col min="4626" max="4626" width="6.5703125" style="176" customWidth="1"/>
    <col min="4627" max="4627" width="0.28515625" style="176" customWidth="1"/>
    <col min="4628" max="4628" width="6.7109375" style="176" customWidth="1"/>
    <col min="4629" max="4629" width="6.5703125" style="176" customWidth="1"/>
    <col min="4630" max="4630" width="0.28515625" style="176" customWidth="1"/>
    <col min="4631" max="4631" width="6.7109375" style="176" customWidth="1"/>
    <col min="4632" max="4632" width="6.5703125" style="176" customWidth="1"/>
    <col min="4633" max="4633" width="0.28515625" style="176" customWidth="1"/>
    <col min="4634" max="4634" width="6.7109375" style="176" customWidth="1"/>
    <col min="4635" max="4635" width="6.5703125" style="176" customWidth="1"/>
    <col min="4636" max="4636" width="0.28515625" style="176" customWidth="1"/>
    <col min="4637" max="4637" width="6.7109375" style="176" customWidth="1"/>
    <col min="4638" max="4638" width="6.5703125" style="176" customWidth="1"/>
    <col min="4639" max="4864" width="9.140625" style="176"/>
    <col min="4865" max="4865" width="4.28515625" style="176" customWidth="1"/>
    <col min="4866" max="4866" width="5.140625" style="176" customWidth="1"/>
    <col min="4867" max="4867" width="5.28515625" style="176" customWidth="1"/>
    <col min="4868" max="4868" width="0.28515625" style="176" customWidth="1"/>
    <col min="4869" max="4870" width="6.5703125" style="176" customWidth="1"/>
    <col min="4871" max="4871" width="0.28515625" style="176" customWidth="1"/>
    <col min="4872" max="4873" width="6.5703125" style="176" customWidth="1"/>
    <col min="4874" max="4874" width="0.28515625" style="176" customWidth="1"/>
    <col min="4875" max="4875" width="6.7109375" style="176" customWidth="1"/>
    <col min="4876" max="4876" width="6.5703125" style="176" customWidth="1"/>
    <col min="4877" max="4877" width="0.28515625" style="176" customWidth="1"/>
    <col min="4878" max="4878" width="6.7109375" style="176" customWidth="1"/>
    <col min="4879" max="4879" width="6.5703125" style="176" customWidth="1"/>
    <col min="4880" max="4880" width="0.28515625" style="176" customWidth="1"/>
    <col min="4881" max="4881" width="6.7109375" style="176" customWidth="1"/>
    <col min="4882" max="4882" width="6.5703125" style="176" customWidth="1"/>
    <col min="4883" max="4883" width="0.28515625" style="176" customWidth="1"/>
    <col min="4884" max="4884" width="6.7109375" style="176" customWidth="1"/>
    <col min="4885" max="4885" width="6.5703125" style="176" customWidth="1"/>
    <col min="4886" max="4886" width="0.28515625" style="176" customWidth="1"/>
    <col min="4887" max="4887" width="6.7109375" style="176" customWidth="1"/>
    <col min="4888" max="4888" width="6.5703125" style="176" customWidth="1"/>
    <col min="4889" max="4889" width="0.28515625" style="176" customWidth="1"/>
    <col min="4890" max="4890" width="6.7109375" style="176" customWidth="1"/>
    <col min="4891" max="4891" width="6.5703125" style="176" customWidth="1"/>
    <col min="4892" max="4892" width="0.28515625" style="176" customWidth="1"/>
    <col min="4893" max="4893" width="6.7109375" style="176" customWidth="1"/>
    <col min="4894" max="4894" width="6.5703125" style="176" customWidth="1"/>
    <col min="4895" max="5120" width="9.140625" style="176"/>
    <col min="5121" max="5121" width="4.28515625" style="176" customWidth="1"/>
    <col min="5122" max="5122" width="5.140625" style="176" customWidth="1"/>
    <col min="5123" max="5123" width="5.28515625" style="176" customWidth="1"/>
    <col min="5124" max="5124" width="0.28515625" style="176" customWidth="1"/>
    <col min="5125" max="5126" width="6.5703125" style="176" customWidth="1"/>
    <col min="5127" max="5127" width="0.28515625" style="176" customWidth="1"/>
    <col min="5128" max="5129" width="6.5703125" style="176" customWidth="1"/>
    <col min="5130" max="5130" width="0.28515625" style="176" customWidth="1"/>
    <col min="5131" max="5131" width="6.7109375" style="176" customWidth="1"/>
    <col min="5132" max="5132" width="6.5703125" style="176" customWidth="1"/>
    <col min="5133" max="5133" width="0.28515625" style="176" customWidth="1"/>
    <col min="5134" max="5134" width="6.7109375" style="176" customWidth="1"/>
    <col min="5135" max="5135" width="6.5703125" style="176" customWidth="1"/>
    <col min="5136" max="5136" width="0.28515625" style="176" customWidth="1"/>
    <col min="5137" max="5137" width="6.7109375" style="176" customWidth="1"/>
    <col min="5138" max="5138" width="6.5703125" style="176" customWidth="1"/>
    <col min="5139" max="5139" width="0.28515625" style="176" customWidth="1"/>
    <col min="5140" max="5140" width="6.7109375" style="176" customWidth="1"/>
    <col min="5141" max="5141" width="6.5703125" style="176" customWidth="1"/>
    <col min="5142" max="5142" width="0.28515625" style="176" customWidth="1"/>
    <col min="5143" max="5143" width="6.7109375" style="176" customWidth="1"/>
    <col min="5144" max="5144" width="6.5703125" style="176" customWidth="1"/>
    <col min="5145" max="5145" width="0.28515625" style="176" customWidth="1"/>
    <col min="5146" max="5146" width="6.7109375" style="176" customWidth="1"/>
    <col min="5147" max="5147" width="6.5703125" style="176" customWidth="1"/>
    <col min="5148" max="5148" width="0.28515625" style="176" customWidth="1"/>
    <col min="5149" max="5149" width="6.7109375" style="176" customWidth="1"/>
    <col min="5150" max="5150" width="6.5703125" style="176" customWidth="1"/>
    <col min="5151" max="5376" width="9.140625" style="176"/>
    <col min="5377" max="5377" width="4.28515625" style="176" customWidth="1"/>
    <col min="5378" max="5378" width="5.140625" style="176" customWidth="1"/>
    <col min="5379" max="5379" width="5.28515625" style="176" customWidth="1"/>
    <col min="5380" max="5380" width="0.28515625" style="176" customWidth="1"/>
    <col min="5381" max="5382" width="6.5703125" style="176" customWidth="1"/>
    <col min="5383" max="5383" width="0.28515625" style="176" customWidth="1"/>
    <col min="5384" max="5385" width="6.5703125" style="176" customWidth="1"/>
    <col min="5386" max="5386" width="0.28515625" style="176" customWidth="1"/>
    <col min="5387" max="5387" width="6.7109375" style="176" customWidth="1"/>
    <col min="5388" max="5388" width="6.5703125" style="176" customWidth="1"/>
    <col min="5389" max="5389" width="0.28515625" style="176" customWidth="1"/>
    <col min="5390" max="5390" width="6.7109375" style="176" customWidth="1"/>
    <col min="5391" max="5391" width="6.5703125" style="176" customWidth="1"/>
    <col min="5392" max="5392" width="0.28515625" style="176" customWidth="1"/>
    <col min="5393" max="5393" width="6.7109375" style="176" customWidth="1"/>
    <col min="5394" max="5394" width="6.5703125" style="176" customWidth="1"/>
    <col min="5395" max="5395" width="0.28515625" style="176" customWidth="1"/>
    <col min="5396" max="5396" width="6.7109375" style="176" customWidth="1"/>
    <col min="5397" max="5397" width="6.5703125" style="176" customWidth="1"/>
    <col min="5398" max="5398" width="0.28515625" style="176" customWidth="1"/>
    <col min="5399" max="5399" width="6.7109375" style="176" customWidth="1"/>
    <col min="5400" max="5400" width="6.5703125" style="176" customWidth="1"/>
    <col min="5401" max="5401" width="0.28515625" style="176" customWidth="1"/>
    <col min="5402" max="5402" width="6.7109375" style="176" customWidth="1"/>
    <col min="5403" max="5403" width="6.5703125" style="176" customWidth="1"/>
    <col min="5404" max="5404" width="0.28515625" style="176" customWidth="1"/>
    <col min="5405" max="5405" width="6.7109375" style="176" customWidth="1"/>
    <col min="5406" max="5406" width="6.5703125" style="176" customWidth="1"/>
    <col min="5407" max="5632" width="9.140625" style="176"/>
    <col min="5633" max="5633" width="4.28515625" style="176" customWidth="1"/>
    <col min="5634" max="5634" width="5.140625" style="176" customWidth="1"/>
    <col min="5635" max="5635" width="5.28515625" style="176" customWidth="1"/>
    <col min="5636" max="5636" width="0.28515625" style="176" customWidth="1"/>
    <col min="5637" max="5638" width="6.5703125" style="176" customWidth="1"/>
    <col min="5639" max="5639" width="0.28515625" style="176" customWidth="1"/>
    <col min="5640" max="5641" width="6.5703125" style="176" customWidth="1"/>
    <col min="5642" max="5642" width="0.28515625" style="176" customWidth="1"/>
    <col min="5643" max="5643" width="6.7109375" style="176" customWidth="1"/>
    <col min="5644" max="5644" width="6.5703125" style="176" customWidth="1"/>
    <col min="5645" max="5645" width="0.28515625" style="176" customWidth="1"/>
    <col min="5646" max="5646" width="6.7109375" style="176" customWidth="1"/>
    <col min="5647" max="5647" width="6.5703125" style="176" customWidth="1"/>
    <col min="5648" max="5648" width="0.28515625" style="176" customWidth="1"/>
    <col min="5649" max="5649" width="6.7109375" style="176" customWidth="1"/>
    <col min="5650" max="5650" width="6.5703125" style="176" customWidth="1"/>
    <col min="5651" max="5651" width="0.28515625" style="176" customWidth="1"/>
    <col min="5652" max="5652" width="6.7109375" style="176" customWidth="1"/>
    <col min="5653" max="5653" width="6.5703125" style="176" customWidth="1"/>
    <col min="5654" max="5654" width="0.28515625" style="176" customWidth="1"/>
    <col min="5655" max="5655" width="6.7109375" style="176" customWidth="1"/>
    <col min="5656" max="5656" width="6.5703125" style="176" customWidth="1"/>
    <col min="5657" max="5657" width="0.28515625" style="176" customWidth="1"/>
    <col min="5658" max="5658" width="6.7109375" style="176" customWidth="1"/>
    <col min="5659" max="5659" width="6.5703125" style="176" customWidth="1"/>
    <col min="5660" max="5660" width="0.28515625" style="176" customWidth="1"/>
    <col min="5661" max="5661" width="6.7109375" style="176" customWidth="1"/>
    <col min="5662" max="5662" width="6.5703125" style="176" customWidth="1"/>
    <col min="5663" max="5888" width="9.140625" style="176"/>
    <col min="5889" max="5889" width="4.28515625" style="176" customWidth="1"/>
    <col min="5890" max="5890" width="5.140625" style="176" customWidth="1"/>
    <col min="5891" max="5891" width="5.28515625" style="176" customWidth="1"/>
    <col min="5892" max="5892" width="0.28515625" style="176" customWidth="1"/>
    <col min="5893" max="5894" width="6.5703125" style="176" customWidth="1"/>
    <col min="5895" max="5895" width="0.28515625" style="176" customWidth="1"/>
    <col min="5896" max="5897" width="6.5703125" style="176" customWidth="1"/>
    <col min="5898" max="5898" width="0.28515625" style="176" customWidth="1"/>
    <col min="5899" max="5899" width="6.7109375" style="176" customWidth="1"/>
    <col min="5900" max="5900" width="6.5703125" style="176" customWidth="1"/>
    <col min="5901" max="5901" width="0.28515625" style="176" customWidth="1"/>
    <col min="5902" max="5902" width="6.7109375" style="176" customWidth="1"/>
    <col min="5903" max="5903" width="6.5703125" style="176" customWidth="1"/>
    <col min="5904" max="5904" width="0.28515625" style="176" customWidth="1"/>
    <col min="5905" max="5905" width="6.7109375" style="176" customWidth="1"/>
    <col min="5906" max="5906" width="6.5703125" style="176" customWidth="1"/>
    <col min="5907" max="5907" width="0.28515625" style="176" customWidth="1"/>
    <col min="5908" max="5908" width="6.7109375" style="176" customWidth="1"/>
    <col min="5909" max="5909" width="6.5703125" style="176" customWidth="1"/>
    <col min="5910" max="5910" width="0.28515625" style="176" customWidth="1"/>
    <col min="5911" max="5911" width="6.7109375" style="176" customWidth="1"/>
    <col min="5912" max="5912" width="6.5703125" style="176" customWidth="1"/>
    <col min="5913" max="5913" width="0.28515625" style="176" customWidth="1"/>
    <col min="5914" max="5914" width="6.7109375" style="176" customWidth="1"/>
    <col min="5915" max="5915" width="6.5703125" style="176" customWidth="1"/>
    <col min="5916" max="5916" width="0.28515625" style="176" customWidth="1"/>
    <col min="5917" max="5917" width="6.7109375" style="176" customWidth="1"/>
    <col min="5918" max="5918" width="6.5703125" style="176" customWidth="1"/>
    <col min="5919" max="6144" width="9.140625" style="176"/>
    <col min="6145" max="6145" width="4.28515625" style="176" customWidth="1"/>
    <col min="6146" max="6146" width="5.140625" style="176" customWidth="1"/>
    <col min="6147" max="6147" width="5.28515625" style="176" customWidth="1"/>
    <col min="6148" max="6148" width="0.28515625" style="176" customWidth="1"/>
    <col min="6149" max="6150" width="6.5703125" style="176" customWidth="1"/>
    <col min="6151" max="6151" width="0.28515625" style="176" customWidth="1"/>
    <col min="6152" max="6153" width="6.5703125" style="176" customWidth="1"/>
    <col min="6154" max="6154" width="0.28515625" style="176" customWidth="1"/>
    <col min="6155" max="6155" width="6.7109375" style="176" customWidth="1"/>
    <col min="6156" max="6156" width="6.5703125" style="176" customWidth="1"/>
    <col min="6157" max="6157" width="0.28515625" style="176" customWidth="1"/>
    <col min="6158" max="6158" width="6.7109375" style="176" customWidth="1"/>
    <col min="6159" max="6159" width="6.5703125" style="176" customWidth="1"/>
    <col min="6160" max="6160" width="0.28515625" style="176" customWidth="1"/>
    <col min="6161" max="6161" width="6.7109375" style="176" customWidth="1"/>
    <col min="6162" max="6162" width="6.5703125" style="176" customWidth="1"/>
    <col min="6163" max="6163" width="0.28515625" style="176" customWidth="1"/>
    <col min="6164" max="6164" width="6.7109375" style="176" customWidth="1"/>
    <col min="6165" max="6165" width="6.5703125" style="176" customWidth="1"/>
    <col min="6166" max="6166" width="0.28515625" style="176" customWidth="1"/>
    <col min="6167" max="6167" width="6.7109375" style="176" customWidth="1"/>
    <col min="6168" max="6168" width="6.5703125" style="176" customWidth="1"/>
    <col min="6169" max="6169" width="0.28515625" style="176" customWidth="1"/>
    <col min="6170" max="6170" width="6.7109375" style="176" customWidth="1"/>
    <col min="6171" max="6171" width="6.5703125" style="176" customWidth="1"/>
    <col min="6172" max="6172" width="0.28515625" style="176" customWidth="1"/>
    <col min="6173" max="6173" width="6.7109375" style="176" customWidth="1"/>
    <col min="6174" max="6174" width="6.5703125" style="176" customWidth="1"/>
    <col min="6175" max="6400" width="9.140625" style="176"/>
    <col min="6401" max="6401" width="4.28515625" style="176" customWidth="1"/>
    <col min="6402" max="6402" width="5.140625" style="176" customWidth="1"/>
    <col min="6403" max="6403" width="5.28515625" style="176" customWidth="1"/>
    <col min="6404" max="6404" width="0.28515625" style="176" customWidth="1"/>
    <col min="6405" max="6406" width="6.5703125" style="176" customWidth="1"/>
    <col min="6407" max="6407" width="0.28515625" style="176" customWidth="1"/>
    <col min="6408" max="6409" width="6.5703125" style="176" customWidth="1"/>
    <col min="6410" max="6410" width="0.28515625" style="176" customWidth="1"/>
    <col min="6411" max="6411" width="6.7109375" style="176" customWidth="1"/>
    <col min="6412" max="6412" width="6.5703125" style="176" customWidth="1"/>
    <col min="6413" max="6413" width="0.28515625" style="176" customWidth="1"/>
    <col min="6414" max="6414" width="6.7109375" style="176" customWidth="1"/>
    <col min="6415" max="6415" width="6.5703125" style="176" customWidth="1"/>
    <col min="6416" max="6416" width="0.28515625" style="176" customWidth="1"/>
    <col min="6417" max="6417" width="6.7109375" style="176" customWidth="1"/>
    <col min="6418" max="6418" width="6.5703125" style="176" customWidth="1"/>
    <col min="6419" max="6419" width="0.28515625" style="176" customWidth="1"/>
    <col min="6420" max="6420" width="6.7109375" style="176" customWidth="1"/>
    <col min="6421" max="6421" width="6.5703125" style="176" customWidth="1"/>
    <col min="6422" max="6422" width="0.28515625" style="176" customWidth="1"/>
    <col min="6423" max="6423" width="6.7109375" style="176" customWidth="1"/>
    <col min="6424" max="6424" width="6.5703125" style="176" customWidth="1"/>
    <col min="6425" max="6425" width="0.28515625" style="176" customWidth="1"/>
    <col min="6426" max="6426" width="6.7109375" style="176" customWidth="1"/>
    <col min="6427" max="6427" width="6.5703125" style="176" customWidth="1"/>
    <col min="6428" max="6428" width="0.28515625" style="176" customWidth="1"/>
    <col min="6429" max="6429" width="6.7109375" style="176" customWidth="1"/>
    <col min="6430" max="6430" width="6.5703125" style="176" customWidth="1"/>
    <col min="6431" max="6656" width="9.140625" style="176"/>
    <col min="6657" max="6657" width="4.28515625" style="176" customWidth="1"/>
    <col min="6658" max="6658" width="5.140625" style="176" customWidth="1"/>
    <col min="6659" max="6659" width="5.28515625" style="176" customWidth="1"/>
    <col min="6660" max="6660" width="0.28515625" style="176" customWidth="1"/>
    <col min="6661" max="6662" width="6.5703125" style="176" customWidth="1"/>
    <col min="6663" max="6663" width="0.28515625" style="176" customWidth="1"/>
    <col min="6664" max="6665" width="6.5703125" style="176" customWidth="1"/>
    <col min="6666" max="6666" width="0.28515625" style="176" customWidth="1"/>
    <col min="6667" max="6667" width="6.7109375" style="176" customWidth="1"/>
    <col min="6668" max="6668" width="6.5703125" style="176" customWidth="1"/>
    <col min="6669" max="6669" width="0.28515625" style="176" customWidth="1"/>
    <col min="6670" max="6670" width="6.7109375" style="176" customWidth="1"/>
    <col min="6671" max="6671" width="6.5703125" style="176" customWidth="1"/>
    <col min="6672" max="6672" width="0.28515625" style="176" customWidth="1"/>
    <col min="6673" max="6673" width="6.7109375" style="176" customWidth="1"/>
    <col min="6674" max="6674" width="6.5703125" style="176" customWidth="1"/>
    <col min="6675" max="6675" width="0.28515625" style="176" customWidth="1"/>
    <col min="6676" max="6676" width="6.7109375" style="176" customWidth="1"/>
    <col min="6677" max="6677" width="6.5703125" style="176" customWidth="1"/>
    <col min="6678" max="6678" width="0.28515625" style="176" customWidth="1"/>
    <col min="6679" max="6679" width="6.7109375" style="176" customWidth="1"/>
    <col min="6680" max="6680" width="6.5703125" style="176" customWidth="1"/>
    <col min="6681" max="6681" width="0.28515625" style="176" customWidth="1"/>
    <col min="6682" max="6682" width="6.7109375" style="176" customWidth="1"/>
    <col min="6683" max="6683" width="6.5703125" style="176" customWidth="1"/>
    <col min="6684" max="6684" width="0.28515625" style="176" customWidth="1"/>
    <col min="6685" max="6685" width="6.7109375" style="176" customWidth="1"/>
    <col min="6686" max="6686" width="6.5703125" style="176" customWidth="1"/>
    <col min="6687" max="6912" width="9.140625" style="176"/>
    <col min="6913" max="6913" width="4.28515625" style="176" customWidth="1"/>
    <col min="6914" max="6914" width="5.140625" style="176" customWidth="1"/>
    <col min="6915" max="6915" width="5.28515625" style="176" customWidth="1"/>
    <col min="6916" max="6916" width="0.28515625" style="176" customWidth="1"/>
    <col min="6917" max="6918" width="6.5703125" style="176" customWidth="1"/>
    <col min="6919" max="6919" width="0.28515625" style="176" customWidth="1"/>
    <col min="6920" max="6921" width="6.5703125" style="176" customWidth="1"/>
    <col min="6922" max="6922" width="0.28515625" style="176" customWidth="1"/>
    <col min="6923" max="6923" width="6.7109375" style="176" customWidth="1"/>
    <col min="6924" max="6924" width="6.5703125" style="176" customWidth="1"/>
    <col min="6925" max="6925" width="0.28515625" style="176" customWidth="1"/>
    <col min="6926" max="6926" width="6.7109375" style="176" customWidth="1"/>
    <col min="6927" max="6927" width="6.5703125" style="176" customWidth="1"/>
    <col min="6928" max="6928" width="0.28515625" style="176" customWidth="1"/>
    <col min="6929" max="6929" width="6.7109375" style="176" customWidth="1"/>
    <col min="6930" max="6930" width="6.5703125" style="176" customWidth="1"/>
    <col min="6931" max="6931" width="0.28515625" style="176" customWidth="1"/>
    <col min="6932" max="6932" width="6.7109375" style="176" customWidth="1"/>
    <col min="6933" max="6933" width="6.5703125" style="176" customWidth="1"/>
    <col min="6934" max="6934" width="0.28515625" style="176" customWidth="1"/>
    <col min="6935" max="6935" width="6.7109375" style="176" customWidth="1"/>
    <col min="6936" max="6936" width="6.5703125" style="176" customWidth="1"/>
    <col min="6937" max="6937" width="0.28515625" style="176" customWidth="1"/>
    <col min="6938" max="6938" width="6.7109375" style="176" customWidth="1"/>
    <col min="6939" max="6939" width="6.5703125" style="176" customWidth="1"/>
    <col min="6940" max="6940" width="0.28515625" style="176" customWidth="1"/>
    <col min="6941" max="6941" width="6.7109375" style="176" customWidth="1"/>
    <col min="6942" max="6942" width="6.5703125" style="176" customWidth="1"/>
    <col min="6943" max="7168" width="9.140625" style="176"/>
    <col min="7169" max="7169" width="4.28515625" style="176" customWidth="1"/>
    <col min="7170" max="7170" width="5.140625" style="176" customWidth="1"/>
    <col min="7171" max="7171" width="5.28515625" style="176" customWidth="1"/>
    <col min="7172" max="7172" width="0.28515625" style="176" customWidth="1"/>
    <col min="7173" max="7174" width="6.5703125" style="176" customWidth="1"/>
    <col min="7175" max="7175" width="0.28515625" style="176" customWidth="1"/>
    <col min="7176" max="7177" width="6.5703125" style="176" customWidth="1"/>
    <col min="7178" max="7178" width="0.28515625" style="176" customWidth="1"/>
    <col min="7179" max="7179" width="6.7109375" style="176" customWidth="1"/>
    <col min="7180" max="7180" width="6.5703125" style="176" customWidth="1"/>
    <col min="7181" max="7181" width="0.28515625" style="176" customWidth="1"/>
    <col min="7182" max="7182" width="6.7109375" style="176" customWidth="1"/>
    <col min="7183" max="7183" width="6.5703125" style="176" customWidth="1"/>
    <col min="7184" max="7184" width="0.28515625" style="176" customWidth="1"/>
    <col min="7185" max="7185" width="6.7109375" style="176" customWidth="1"/>
    <col min="7186" max="7186" width="6.5703125" style="176" customWidth="1"/>
    <col min="7187" max="7187" width="0.28515625" style="176" customWidth="1"/>
    <col min="7188" max="7188" width="6.7109375" style="176" customWidth="1"/>
    <col min="7189" max="7189" width="6.5703125" style="176" customWidth="1"/>
    <col min="7190" max="7190" width="0.28515625" style="176" customWidth="1"/>
    <col min="7191" max="7191" width="6.7109375" style="176" customWidth="1"/>
    <col min="7192" max="7192" width="6.5703125" style="176" customWidth="1"/>
    <col min="7193" max="7193" width="0.28515625" style="176" customWidth="1"/>
    <col min="7194" max="7194" width="6.7109375" style="176" customWidth="1"/>
    <col min="7195" max="7195" width="6.5703125" style="176" customWidth="1"/>
    <col min="7196" max="7196" width="0.28515625" style="176" customWidth="1"/>
    <col min="7197" max="7197" width="6.7109375" style="176" customWidth="1"/>
    <col min="7198" max="7198" width="6.5703125" style="176" customWidth="1"/>
    <col min="7199" max="7424" width="9.140625" style="176"/>
    <col min="7425" max="7425" width="4.28515625" style="176" customWidth="1"/>
    <col min="7426" max="7426" width="5.140625" style="176" customWidth="1"/>
    <col min="7427" max="7427" width="5.28515625" style="176" customWidth="1"/>
    <col min="7428" max="7428" width="0.28515625" style="176" customWidth="1"/>
    <col min="7429" max="7430" width="6.5703125" style="176" customWidth="1"/>
    <col min="7431" max="7431" width="0.28515625" style="176" customWidth="1"/>
    <col min="7432" max="7433" width="6.5703125" style="176" customWidth="1"/>
    <col min="7434" max="7434" width="0.28515625" style="176" customWidth="1"/>
    <col min="7435" max="7435" width="6.7109375" style="176" customWidth="1"/>
    <col min="7436" max="7436" width="6.5703125" style="176" customWidth="1"/>
    <col min="7437" max="7437" width="0.28515625" style="176" customWidth="1"/>
    <col min="7438" max="7438" width="6.7109375" style="176" customWidth="1"/>
    <col min="7439" max="7439" width="6.5703125" style="176" customWidth="1"/>
    <col min="7440" max="7440" width="0.28515625" style="176" customWidth="1"/>
    <col min="7441" max="7441" width="6.7109375" style="176" customWidth="1"/>
    <col min="7442" max="7442" width="6.5703125" style="176" customWidth="1"/>
    <col min="7443" max="7443" width="0.28515625" style="176" customWidth="1"/>
    <col min="7444" max="7444" width="6.7109375" style="176" customWidth="1"/>
    <col min="7445" max="7445" width="6.5703125" style="176" customWidth="1"/>
    <col min="7446" max="7446" width="0.28515625" style="176" customWidth="1"/>
    <col min="7447" max="7447" width="6.7109375" style="176" customWidth="1"/>
    <col min="7448" max="7448" width="6.5703125" style="176" customWidth="1"/>
    <col min="7449" max="7449" width="0.28515625" style="176" customWidth="1"/>
    <col min="7450" max="7450" width="6.7109375" style="176" customWidth="1"/>
    <col min="7451" max="7451" width="6.5703125" style="176" customWidth="1"/>
    <col min="7452" max="7452" width="0.28515625" style="176" customWidth="1"/>
    <col min="7453" max="7453" width="6.7109375" style="176" customWidth="1"/>
    <col min="7454" max="7454" width="6.5703125" style="176" customWidth="1"/>
    <col min="7455" max="7680" width="9.140625" style="176"/>
    <col min="7681" max="7681" width="4.28515625" style="176" customWidth="1"/>
    <col min="7682" max="7682" width="5.140625" style="176" customWidth="1"/>
    <col min="7683" max="7683" width="5.28515625" style="176" customWidth="1"/>
    <col min="7684" max="7684" width="0.28515625" style="176" customWidth="1"/>
    <col min="7685" max="7686" width="6.5703125" style="176" customWidth="1"/>
    <col min="7687" max="7687" width="0.28515625" style="176" customWidth="1"/>
    <col min="7688" max="7689" width="6.5703125" style="176" customWidth="1"/>
    <col min="7690" max="7690" width="0.28515625" style="176" customWidth="1"/>
    <col min="7691" max="7691" width="6.7109375" style="176" customWidth="1"/>
    <col min="7692" max="7692" width="6.5703125" style="176" customWidth="1"/>
    <col min="7693" max="7693" width="0.28515625" style="176" customWidth="1"/>
    <col min="7694" max="7694" width="6.7109375" style="176" customWidth="1"/>
    <col min="7695" max="7695" width="6.5703125" style="176" customWidth="1"/>
    <col min="7696" max="7696" width="0.28515625" style="176" customWidth="1"/>
    <col min="7697" max="7697" width="6.7109375" style="176" customWidth="1"/>
    <col min="7698" max="7698" width="6.5703125" style="176" customWidth="1"/>
    <col min="7699" max="7699" width="0.28515625" style="176" customWidth="1"/>
    <col min="7700" max="7700" width="6.7109375" style="176" customWidth="1"/>
    <col min="7701" max="7701" width="6.5703125" style="176" customWidth="1"/>
    <col min="7702" max="7702" width="0.28515625" style="176" customWidth="1"/>
    <col min="7703" max="7703" width="6.7109375" style="176" customWidth="1"/>
    <col min="7704" max="7704" width="6.5703125" style="176" customWidth="1"/>
    <col min="7705" max="7705" width="0.28515625" style="176" customWidth="1"/>
    <col min="7706" max="7706" width="6.7109375" style="176" customWidth="1"/>
    <col min="7707" max="7707" width="6.5703125" style="176" customWidth="1"/>
    <col min="7708" max="7708" width="0.28515625" style="176" customWidth="1"/>
    <col min="7709" max="7709" width="6.7109375" style="176" customWidth="1"/>
    <col min="7710" max="7710" width="6.5703125" style="176" customWidth="1"/>
    <col min="7711" max="7936" width="9.140625" style="176"/>
    <col min="7937" max="7937" width="4.28515625" style="176" customWidth="1"/>
    <col min="7938" max="7938" width="5.140625" style="176" customWidth="1"/>
    <col min="7939" max="7939" width="5.28515625" style="176" customWidth="1"/>
    <col min="7940" max="7940" width="0.28515625" style="176" customWidth="1"/>
    <col min="7941" max="7942" width="6.5703125" style="176" customWidth="1"/>
    <col min="7943" max="7943" width="0.28515625" style="176" customWidth="1"/>
    <col min="7944" max="7945" width="6.5703125" style="176" customWidth="1"/>
    <col min="7946" max="7946" width="0.28515625" style="176" customWidth="1"/>
    <col min="7947" max="7947" width="6.7109375" style="176" customWidth="1"/>
    <col min="7948" max="7948" width="6.5703125" style="176" customWidth="1"/>
    <col min="7949" max="7949" width="0.28515625" style="176" customWidth="1"/>
    <col min="7950" max="7950" width="6.7109375" style="176" customWidth="1"/>
    <col min="7951" max="7951" width="6.5703125" style="176" customWidth="1"/>
    <col min="7952" max="7952" width="0.28515625" style="176" customWidth="1"/>
    <col min="7953" max="7953" width="6.7109375" style="176" customWidth="1"/>
    <col min="7954" max="7954" width="6.5703125" style="176" customWidth="1"/>
    <col min="7955" max="7955" width="0.28515625" style="176" customWidth="1"/>
    <col min="7956" max="7956" width="6.7109375" style="176" customWidth="1"/>
    <col min="7957" max="7957" width="6.5703125" style="176" customWidth="1"/>
    <col min="7958" max="7958" width="0.28515625" style="176" customWidth="1"/>
    <col min="7959" max="7959" width="6.7109375" style="176" customWidth="1"/>
    <col min="7960" max="7960" width="6.5703125" style="176" customWidth="1"/>
    <col min="7961" max="7961" width="0.28515625" style="176" customWidth="1"/>
    <col min="7962" max="7962" width="6.7109375" style="176" customWidth="1"/>
    <col min="7963" max="7963" width="6.5703125" style="176" customWidth="1"/>
    <col min="7964" max="7964" width="0.28515625" style="176" customWidth="1"/>
    <col min="7965" max="7965" width="6.7109375" style="176" customWidth="1"/>
    <col min="7966" max="7966" width="6.5703125" style="176" customWidth="1"/>
    <col min="7967" max="8192" width="9.140625" style="176"/>
    <col min="8193" max="8193" width="4.28515625" style="176" customWidth="1"/>
    <col min="8194" max="8194" width="5.140625" style="176" customWidth="1"/>
    <col min="8195" max="8195" width="5.28515625" style="176" customWidth="1"/>
    <col min="8196" max="8196" width="0.28515625" style="176" customWidth="1"/>
    <col min="8197" max="8198" width="6.5703125" style="176" customWidth="1"/>
    <col min="8199" max="8199" width="0.28515625" style="176" customWidth="1"/>
    <col min="8200" max="8201" width="6.5703125" style="176" customWidth="1"/>
    <col min="8202" max="8202" width="0.28515625" style="176" customWidth="1"/>
    <col min="8203" max="8203" width="6.7109375" style="176" customWidth="1"/>
    <col min="8204" max="8204" width="6.5703125" style="176" customWidth="1"/>
    <col min="8205" max="8205" width="0.28515625" style="176" customWidth="1"/>
    <col min="8206" max="8206" width="6.7109375" style="176" customWidth="1"/>
    <col min="8207" max="8207" width="6.5703125" style="176" customWidth="1"/>
    <col min="8208" max="8208" width="0.28515625" style="176" customWidth="1"/>
    <col min="8209" max="8209" width="6.7109375" style="176" customWidth="1"/>
    <col min="8210" max="8210" width="6.5703125" style="176" customWidth="1"/>
    <col min="8211" max="8211" width="0.28515625" style="176" customWidth="1"/>
    <col min="8212" max="8212" width="6.7109375" style="176" customWidth="1"/>
    <col min="8213" max="8213" width="6.5703125" style="176" customWidth="1"/>
    <col min="8214" max="8214" width="0.28515625" style="176" customWidth="1"/>
    <col min="8215" max="8215" width="6.7109375" style="176" customWidth="1"/>
    <col min="8216" max="8216" width="6.5703125" style="176" customWidth="1"/>
    <col min="8217" max="8217" width="0.28515625" style="176" customWidth="1"/>
    <col min="8218" max="8218" width="6.7109375" style="176" customWidth="1"/>
    <col min="8219" max="8219" width="6.5703125" style="176" customWidth="1"/>
    <col min="8220" max="8220" width="0.28515625" style="176" customWidth="1"/>
    <col min="8221" max="8221" width="6.7109375" style="176" customWidth="1"/>
    <col min="8222" max="8222" width="6.5703125" style="176" customWidth="1"/>
    <col min="8223" max="8448" width="9.140625" style="176"/>
    <col min="8449" max="8449" width="4.28515625" style="176" customWidth="1"/>
    <col min="8450" max="8450" width="5.140625" style="176" customWidth="1"/>
    <col min="8451" max="8451" width="5.28515625" style="176" customWidth="1"/>
    <col min="8452" max="8452" width="0.28515625" style="176" customWidth="1"/>
    <col min="8453" max="8454" width="6.5703125" style="176" customWidth="1"/>
    <col min="8455" max="8455" width="0.28515625" style="176" customWidth="1"/>
    <col min="8456" max="8457" width="6.5703125" style="176" customWidth="1"/>
    <col min="8458" max="8458" width="0.28515625" style="176" customWidth="1"/>
    <col min="8459" max="8459" width="6.7109375" style="176" customWidth="1"/>
    <col min="8460" max="8460" width="6.5703125" style="176" customWidth="1"/>
    <col min="8461" max="8461" width="0.28515625" style="176" customWidth="1"/>
    <col min="8462" max="8462" width="6.7109375" style="176" customWidth="1"/>
    <col min="8463" max="8463" width="6.5703125" style="176" customWidth="1"/>
    <col min="8464" max="8464" width="0.28515625" style="176" customWidth="1"/>
    <col min="8465" max="8465" width="6.7109375" style="176" customWidth="1"/>
    <col min="8466" max="8466" width="6.5703125" style="176" customWidth="1"/>
    <col min="8467" max="8467" width="0.28515625" style="176" customWidth="1"/>
    <col min="8468" max="8468" width="6.7109375" style="176" customWidth="1"/>
    <col min="8469" max="8469" width="6.5703125" style="176" customWidth="1"/>
    <col min="8470" max="8470" width="0.28515625" style="176" customWidth="1"/>
    <col min="8471" max="8471" width="6.7109375" style="176" customWidth="1"/>
    <col min="8472" max="8472" width="6.5703125" style="176" customWidth="1"/>
    <col min="8473" max="8473" width="0.28515625" style="176" customWidth="1"/>
    <col min="8474" max="8474" width="6.7109375" style="176" customWidth="1"/>
    <col min="8475" max="8475" width="6.5703125" style="176" customWidth="1"/>
    <col min="8476" max="8476" width="0.28515625" style="176" customWidth="1"/>
    <col min="8477" max="8477" width="6.7109375" style="176" customWidth="1"/>
    <col min="8478" max="8478" width="6.5703125" style="176" customWidth="1"/>
    <col min="8479" max="8704" width="9.140625" style="176"/>
    <col min="8705" max="8705" width="4.28515625" style="176" customWidth="1"/>
    <col min="8706" max="8706" width="5.140625" style="176" customWidth="1"/>
    <col min="8707" max="8707" width="5.28515625" style="176" customWidth="1"/>
    <col min="8708" max="8708" width="0.28515625" style="176" customWidth="1"/>
    <col min="8709" max="8710" width="6.5703125" style="176" customWidth="1"/>
    <col min="8711" max="8711" width="0.28515625" style="176" customWidth="1"/>
    <col min="8712" max="8713" width="6.5703125" style="176" customWidth="1"/>
    <col min="8714" max="8714" width="0.28515625" style="176" customWidth="1"/>
    <col min="8715" max="8715" width="6.7109375" style="176" customWidth="1"/>
    <col min="8716" max="8716" width="6.5703125" style="176" customWidth="1"/>
    <col min="8717" max="8717" width="0.28515625" style="176" customWidth="1"/>
    <col min="8718" max="8718" width="6.7109375" style="176" customWidth="1"/>
    <col min="8719" max="8719" width="6.5703125" style="176" customWidth="1"/>
    <col min="8720" max="8720" width="0.28515625" style="176" customWidth="1"/>
    <col min="8721" max="8721" width="6.7109375" style="176" customWidth="1"/>
    <col min="8722" max="8722" width="6.5703125" style="176" customWidth="1"/>
    <col min="8723" max="8723" width="0.28515625" style="176" customWidth="1"/>
    <col min="8724" max="8724" width="6.7109375" style="176" customWidth="1"/>
    <col min="8725" max="8725" width="6.5703125" style="176" customWidth="1"/>
    <col min="8726" max="8726" width="0.28515625" style="176" customWidth="1"/>
    <col min="8727" max="8727" width="6.7109375" style="176" customWidth="1"/>
    <col min="8728" max="8728" width="6.5703125" style="176" customWidth="1"/>
    <col min="8729" max="8729" width="0.28515625" style="176" customWidth="1"/>
    <col min="8730" max="8730" width="6.7109375" style="176" customWidth="1"/>
    <col min="8731" max="8731" width="6.5703125" style="176" customWidth="1"/>
    <col min="8732" max="8732" width="0.28515625" style="176" customWidth="1"/>
    <col min="8733" max="8733" width="6.7109375" style="176" customWidth="1"/>
    <col min="8734" max="8734" width="6.5703125" style="176" customWidth="1"/>
    <col min="8735" max="8960" width="9.140625" style="176"/>
    <col min="8961" max="8961" width="4.28515625" style="176" customWidth="1"/>
    <col min="8962" max="8962" width="5.140625" style="176" customWidth="1"/>
    <col min="8963" max="8963" width="5.28515625" style="176" customWidth="1"/>
    <col min="8964" max="8964" width="0.28515625" style="176" customWidth="1"/>
    <col min="8965" max="8966" width="6.5703125" style="176" customWidth="1"/>
    <col min="8967" max="8967" width="0.28515625" style="176" customWidth="1"/>
    <col min="8968" max="8969" width="6.5703125" style="176" customWidth="1"/>
    <col min="8970" max="8970" width="0.28515625" style="176" customWidth="1"/>
    <col min="8971" max="8971" width="6.7109375" style="176" customWidth="1"/>
    <col min="8972" max="8972" width="6.5703125" style="176" customWidth="1"/>
    <col min="8973" max="8973" width="0.28515625" style="176" customWidth="1"/>
    <col min="8974" max="8974" width="6.7109375" style="176" customWidth="1"/>
    <col min="8975" max="8975" width="6.5703125" style="176" customWidth="1"/>
    <col min="8976" max="8976" width="0.28515625" style="176" customWidth="1"/>
    <col min="8977" max="8977" width="6.7109375" style="176" customWidth="1"/>
    <col min="8978" max="8978" width="6.5703125" style="176" customWidth="1"/>
    <col min="8979" max="8979" width="0.28515625" style="176" customWidth="1"/>
    <col min="8980" max="8980" width="6.7109375" style="176" customWidth="1"/>
    <col min="8981" max="8981" width="6.5703125" style="176" customWidth="1"/>
    <col min="8982" max="8982" width="0.28515625" style="176" customWidth="1"/>
    <col min="8983" max="8983" width="6.7109375" style="176" customWidth="1"/>
    <col min="8984" max="8984" width="6.5703125" style="176" customWidth="1"/>
    <col min="8985" max="8985" width="0.28515625" style="176" customWidth="1"/>
    <col min="8986" max="8986" width="6.7109375" style="176" customWidth="1"/>
    <col min="8987" max="8987" width="6.5703125" style="176" customWidth="1"/>
    <col min="8988" max="8988" width="0.28515625" style="176" customWidth="1"/>
    <col min="8989" max="8989" width="6.7109375" style="176" customWidth="1"/>
    <col min="8990" max="8990" width="6.5703125" style="176" customWidth="1"/>
    <col min="8991" max="9216" width="9.140625" style="176"/>
    <col min="9217" max="9217" width="4.28515625" style="176" customWidth="1"/>
    <col min="9218" max="9218" width="5.140625" style="176" customWidth="1"/>
    <col min="9219" max="9219" width="5.28515625" style="176" customWidth="1"/>
    <col min="9220" max="9220" width="0.28515625" style="176" customWidth="1"/>
    <col min="9221" max="9222" width="6.5703125" style="176" customWidth="1"/>
    <col min="9223" max="9223" width="0.28515625" style="176" customWidth="1"/>
    <col min="9224" max="9225" width="6.5703125" style="176" customWidth="1"/>
    <col min="9226" max="9226" width="0.28515625" style="176" customWidth="1"/>
    <col min="9227" max="9227" width="6.7109375" style="176" customWidth="1"/>
    <col min="9228" max="9228" width="6.5703125" style="176" customWidth="1"/>
    <col min="9229" max="9229" width="0.28515625" style="176" customWidth="1"/>
    <col min="9230" max="9230" width="6.7109375" style="176" customWidth="1"/>
    <col min="9231" max="9231" width="6.5703125" style="176" customWidth="1"/>
    <col min="9232" max="9232" width="0.28515625" style="176" customWidth="1"/>
    <col min="9233" max="9233" width="6.7109375" style="176" customWidth="1"/>
    <col min="9234" max="9234" width="6.5703125" style="176" customWidth="1"/>
    <col min="9235" max="9235" width="0.28515625" style="176" customWidth="1"/>
    <col min="9236" max="9236" width="6.7109375" style="176" customWidth="1"/>
    <col min="9237" max="9237" width="6.5703125" style="176" customWidth="1"/>
    <col min="9238" max="9238" width="0.28515625" style="176" customWidth="1"/>
    <col min="9239" max="9239" width="6.7109375" style="176" customWidth="1"/>
    <col min="9240" max="9240" width="6.5703125" style="176" customWidth="1"/>
    <col min="9241" max="9241" width="0.28515625" style="176" customWidth="1"/>
    <col min="9242" max="9242" width="6.7109375" style="176" customWidth="1"/>
    <col min="9243" max="9243" width="6.5703125" style="176" customWidth="1"/>
    <col min="9244" max="9244" width="0.28515625" style="176" customWidth="1"/>
    <col min="9245" max="9245" width="6.7109375" style="176" customWidth="1"/>
    <col min="9246" max="9246" width="6.5703125" style="176" customWidth="1"/>
    <col min="9247" max="9472" width="9.140625" style="176"/>
    <col min="9473" max="9473" width="4.28515625" style="176" customWidth="1"/>
    <col min="9474" max="9474" width="5.140625" style="176" customWidth="1"/>
    <col min="9475" max="9475" width="5.28515625" style="176" customWidth="1"/>
    <col min="9476" max="9476" width="0.28515625" style="176" customWidth="1"/>
    <col min="9477" max="9478" width="6.5703125" style="176" customWidth="1"/>
    <col min="9479" max="9479" width="0.28515625" style="176" customWidth="1"/>
    <col min="9480" max="9481" width="6.5703125" style="176" customWidth="1"/>
    <col min="9482" max="9482" width="0.28515625" style="176" customWidth="1"/>
    <col min="9483" max="9483" width="6.7109375" style="176" customWidth="1"/>
    <col min="9484" max="9484" width="6.5703125" style="176" customWidth="1"/>
    <col min="9485" max="9485" width="0.28515625" style="176" customWidth="1"/>
    <col min="9486" max="9486" width="6.7109375" style="176" customWidth="1"/>
    <col min="9487" max="9487" width="6.5703125" style="176" customWidth="1"/>
    <col min="9488" max="9488" width="0.28515625" style="176" customWidth="1"/>
    <col min="9489" max="9489" width="6.7109375" style="176" customWidth="1"/>
    <col min="9490" max="9490" width="6.5703125" style="176" customWidth="1"/>
    <col min="9491" max="9491" width="0.28515625" style="176" customWidth="1"/>
    <col min="9492" max="9492" width="6.7109375" style="176" customWidth="1"/>
    <col min="9493" max="9493" width="6.5703125" style="176" customWidth="1"/>
    <col min="9494" max="9494" width="0.28515625" style="176" customWidth="1"/>
    <col min="9495" max="9495" width="6.7109375" style="176" customWidth="1"/>
    <col min="9496" max="9496" width="6.5703125" style="176" customWidth="1"/>
    <col min="9497" max="9497" width="0.28515625" style="176" customWidth="1"/>
    <col min="9498" max="9498" width="6.7109375" style="176" customWidth="1"/>
    <col min="9499" max="9499" width="6.5703125" style="176" customWidth="1"/>
    <col min="9500" max="9500" width="0.28515625" style="176" customWidth="1"/>
    <col min="9501" max="9501" width="6.7109375" style="176" customWidth="1"/>
    <col min="9502" max="9502" width="6.5703125" style="176" customWidth="1"/>
    <col min="9503" max="9728" width="9.140625" style="176"/>
    <col min="9729" max="9729" width="4.28515625" style="176" customWidth="1"/>
    <col min="9730" max="9730" width="5.140625" style="176" customWidth="1"/>
    <col min="9731" max="9731" width="5.28515625" style="176" customWidth="1"/>
    <col min="9732" max="9732" width="0.28515625" style="176" customWidth="1"/>
    <col min="9733" max="9734" width="6.5703125" style="176" customWidth="1"/>
    <col min="9735" max="9735" width="0.28515625" style="176" customWidth="1"/>
    <col min="9736" max="9737" width="6.5703125" style="176" customWidth="1"/>
    <col min="9738" max="9738" width="0.28515625" style="176" customWidth="1"/>
    <col min="9739" max="9739" width="6.7109375" style="176" customWidth="1"/>
    <col min="9740" max="9740" width="6.5703125" style="176" customWidth="1"/>
    <col min="9741" max="9741" width="0.28515625" style="176" customWidth="1"/>
    <col min="9742" max="9742" width="6.7109375" style="176" customWidth="1"/>
    <col min="9743" max="9743" width="6.5703125" style="176" customWidth="1"/>
    <col min="9744" max="9744" width="0.28515625" style="176" customWidth="1"/>
    <col min="9745" max="9745" width="6.7109375" style="176" customWidth="1"/>
    <col min="9746" max="9746" width="6.5703125" style="176" customWidth="1"/>
    <col min="9747" max="9747" width="0.28515625" style="176" customWidth="1"/>
    <col min="9748" max="9748" width="6.7109375" style="176" customWidth="1"/>
    <col min="9749" max="9749" width="6.5703125" style="176" customWidth="1"/>
    <col min="9750" max="9750" width="0.28515625" style="176" customWidth="1"/>
    <col min="9751" max="9751" width="6.7109375" style="176" customWidth="1"/>
    <col min="9752" max="9752" width="6.5703125" style="176" customWidth="1"/>
    <col min="9753" max="9753" width="0.28515625" style="176" customWidth="1"/>
    <col min="9754" max="9754" width="6.7109375" style="176" customWidth="1"/>
    <col min="9755" max="9755" width="6.5703125" style="176" customWidth="1"/>
    <col min="9756" max="9756" width="0.28515625" style="176" customWidth="1"/>
    <col min="9757" max="9757" width="6.7109375" style="176" customWidth="1"/>
    <col min="9758" max="9758" width="6.5703125" style="176" customWidth="1"/>
    <col min="9759" max="9984" width="9.140625" style="176"/>
    <col min="9985" max="9985" width="4.28515625" style="176" customWidth="1"/>
    <col min="9986" max="9986" width="5.140625" style="176" customWidth="1"/>
    <col min="9987" max="9987" width="5.28515625" style="176" customWidth="1"/>
    <col min="9988" max="9988" width="0.28515625" style="176" customWidth="1"/>
    <col min="9989" max="9990" width="6.5703125" style="176" customWidth="1"/>
    <col min="9991" max="9991" width="0.28515625" style="176" customWidth="1"/>
    <col min="9992" max="9993" width="6.5703125" style="176" customWidth="1"/>
    <col min="9994" max="9994" width="0.28515625" style="176" customWidth="1"/>
    <col min="9995" max="9995" width="6.7109375" style="176" customWidth="1"/>
    <col min="9996" max="9996" width="6.5703125" style="176" customWidth="1"/>
    <col min="9997" max="9997" width="0.28515625" style="176" customWidth="1"/>
    <col min="9998" max="9998" width="6.7109375" style="176" customWidth="1"/>
    <col min="9999" max="9999" width="6.5703125" style="176" customWidth="1"/>
    <col min="10000" max="10000" width="0.28515625" style="176" customWidth="1"/>
    <col min="10001" max="10001" width="6.7109375" style="176" customWidth="1"/>
    <col min="10002" max="10002" width="6.5703125" style="176" customWidth="1"/>
    <col min="10003" max="10003" width="0.28515625" style="176" customWidth="1"/>
    <col min="10004" max="10004" width="6.7109375" style="176" customWidth="1"/>
    <col min="10005" max="10005" width="6.5703125" style="176" customWidth="1"/>
    <col min="10006" max="10006" width="0.28515625" style="176" customWidth="1"/>
    <col min="10007" max="10007" width="6.7109375" style="176" customWidth="1"/>
    <col min="10008" max="10008" width="6.5703125" style="176" customWidth="1"/>
    <col min="10009" max="10009" width="0.28515625" style="176" customWidth="1"/>
    <col min="10010" max="10010" width="6.7109375" style="176" customWidth="1"/>
    <col min="10011" max="10011" width="6.5703125" style="176" customWidth="1"/>
    <col min="10012" max="10012" width="0.28515625" style="176" customWidth="1"/>
    <col min="10013" max="10013" width="6.7109375" style="176" customWidth="1"/>
    <col min="10014" max="10014" width="6.5703125" style="176" customWidth="1"/>
    <col min="10015" max="10240" width="9.140625" style="176"/>
    <col min="10241" max="10241" width="4.28515625" style="176" customWidth="1"/>
    <col min="10242" max="10242" width="5.140625" style="176" customWidth="1"/>
    <col min="10243" max="10243" width="5.28515625" style="176" customWidth="1"/>
    <col min="10244" max="10244" width="0.28515625" style="176" customWidth="1"/>
    <col min="10245" max="10246" width="6.5703125" style="176" customWidth="1"/>
    <col min="10247" max="10247" width="0.28515625" style="176" customWidth="1"/>
    <col min="10248" max="10249" width="6.5703125" style="176" customWidth="1"/>
    <col min="10250" max="10250" width="0.28515625" style="176" customWidth="1"/>
    <col min="10251" max="10251" width="6.7109375" style="176" customWidth="1"/>
    <col min="10252" max="10252" width="6.5703125" style="176" customWidth="1"/>
    <col min="10253" max="10253" width="0.28515625" style="176" customWidth="1"/>
    <col min="10254" max="10254" width="6.7109375" style="176" customWidth="1"/>
    <col min="10255" max="10255" width="6.5703125" style="176" customWidth="1"/>
    <col min="10256" max="10256" width="0.28515625" style="176" customWidth="1"/>
    <col min="10257" max="10257" width="6.7109375" style="176" customWidth="1"/>
    <col min="10258" max="10258" width="6.5703125" style="176" customWidth="1"/>
    <col min="10259" max="10259" width="0.28515625" style="176" customWidth="1"/>
    <col min="10260" max="10260" width="6.7109375" style="176" customWidth="1"/>
    <col min="10261" max="10261" width="6.5703125" style="176" customWidth="1"/>
    <col min="10262" max="10262" width="0.28515625" style="176" customWidth="1"/>
    <col min="10263" max="10263" width="6.7109375" style="176" customWidth="1"/>
    <col min="10264" max="10264" width="6.5703125" style="176" customWidth="1"/>
    <col min="10265" max="10265" width="0.28515625" style="176" customWidth="1"/>
    <col min="10266" max="10266" width="6.7109375" style="176" customWidth="1"/>
    <col min="10267" max="10267" width="6.5703125" style="176" customWidth="1"/>
    <col min="10268" max="10268" width="0.28515625" style="176" customWidth="1"/>
    <col min="10269" max="10269" width="6.7109375" style="176" customWidth="1"/>
    <col min="10270" max="10270" width="6.5703125" style="176" customWidth="1"/>
    <col min="10271" max="10496" width="9.140625" style="176"/>
    <col min="10497" max="10497" width="4.28515625" style="176" customWidth="1"/>
    <col min="10498" max="10498" width="5.140625" style="176" customWidth="1"/>
    <col min="10499" max="10499" width="5.28515625" style="176" customWidth="1"/>
    <col min="10500" max="10500" width="0.28515625" style="176" customWidth="1"/>
    <col min="10501" max="10502" width="6.5703125" style="176" customWidth="1"/>
    <col min="10503" max="10503" width="0.28515625" style="176" customWidth="1"/>
    <col min="10504" max="10505" width="6.5703125" style="176" customWidth="1"/>
    <col min="10506" max="10506" width="0.28515625" style="176" customWidth="1"/>
    <col min="10507" max="10507" width="6.7109375" style="176" customWidth="1"/>
    <col min="10508" max="10508" width="6.5703125" style="176" customWidth="1"/>
    <col min="10509" max="10509" width="0.28515625" style="176" customWidth="1"/>
    <col min="10510" max="10510" width="6.7109375" style="176" customWidth="1"/>
    <col min="10511" max="10511" width="6.5703125" style="176" customWidth="1"/>
    <col min="10512" max="10512" width="0.28515625" style="176" customWidth="1"/>
    <col min="10513" max="10513" width="6.7109375" style="176" customWidth="1"/>
    <col min="10514" max="10514" width="6.5703125" style="176" customWidth="1"/>
    <col min="10515" max="10515" width="0.28515625" style="176" customWidth="1"/>
    <col min="10516" max="10516" width="6.7109375" style="176" customWidth="1"/>
    <col min="10517" max="10517" width="6.5703125" style="176" customWidth="1"/>
    <col min="10518" max="10518" width="0.28515625" style="176" customWidth="1"/>
    <col min="10519" max="10519" width="6.7109375" style="176" customWidth="1"/>
    <col min="10520" max="10520" width="6.5703125" style="176" customWidth="1"/>
    <col min="10521" max="10521" width="0.28515625" style="176" customWidth="1"/>
    <col min="10522" max="10522" width="6.7109375" style="176" customWidth="1"/>
    <col min="10523" max="10523" width="6.5703125" style="176" customWidth="1"/>
    <col min="10524" max="10524" width="0.28515625" style="176" customWidth="1"/>
    <col min="10525" max="10525" width="6.7109375" style="176" customWidth="1"/>
    <col min="10526" max="10526" width="6.5703125" style="176" customWidth="1"/>
    <col min="10527" max="10752" width="9.140625" style="176"/>
    <col min="10753" max="10753" width="4.28515625" style="176" customWidth="1"/>
    <col min="10754" max="10754" width="5.140625" style="176" customWidth="1"/>
    <col min="10755" max="10755" width="5.28515625" style="176" customWidth="1"/>
    <col min="10756" max="10756" width="0.28515625" style="176" customWidth="1"/>
    <col min="10757" max="10758" width="6.5703125" style="176" customWidth="1"/>
    <col min="10759" max="10759" width="0.28515625" style="176" customWidth="1"/>
    <col min="10760" max="10761" width="6.5703125" style="176" customWidth="1"/>
    <col min="10762" max="10762" width="0.28515625" style="176" customWidth="1"/>
    <col min="10763" max="10763" width="6.7109375" style="176" customWidth="1"/>
    <col min="10764" max="10764" width="6.5703125" style="176" customWidth="1"/>
    <col min="10765" max="10765" width="0.28515625" style="176" customWidth="1"/>
    <col min="10766" max="10766" width="6.7109375" style="176" customWidth="1"/>
    <col min="10767" max="10767" width="6.5703125" style="176" customWidth="1"/>
    <col min="10768" max="10768" width="0.28515625" style="176" customWidth="1"/>
    <col min="10769" max="10769" width="6.7109375" style="176" customWidth="1"/>
    <col min="10770" max="10770" width="6.5703125" style="176" customWidth="1"/>
    <col min="10771" max="10771" width="0.28515625" style="176" customWidth="1"/>
    <col min="10772" max="10772" width="6.7109375" style="176" customWidth="1"/>
    <col min="10773" max="10773" width="6.5703125" style="176" customWidth="1"/>
    <col min="10774" max="10774" width="0.28515625" style="176" customWidth="1"/>
    <col min="10775" max="10775" width="6.7109375" style="176" customWidth="1"/>
    <col min="10776" max="10776" width="6.5703125" style="176" customWidth="1"/>
    <col min="10777" max="10777" width="0.28515625" style="176" customWidth="1"/>
    <col min="10778" max="10778" width="6.7109375" style="176" customWidth="1"/>
    <col min="10779" max="10779" width="6.5703125" style="176" customWidth="1"/>
    <col min="10780" max="10780" width="0.28515625" style="176" customWidth="1"/>
    <col min="10781" max="10781" width="6.7109375" style="176" customWidth="1"/>
    <col min="10782" max="10782" width="6.5703125" style="176" customWidth="1"/>
    <col min="10783" max="11008" width="9.140625" style="176"/>
    <col min="11009" max="11009" width="4.28515625" style="176" customWidth="1"/>
    <col min="11010" max="11010" width="5.140625" style="176" customWidth="1"/>
    <col min="11011" max="11011" width="5.28515625" style="176" customWidth="1"/>
    <col min="11012" max="11012" width="0.28515625" style="176" customWidth="1"/>
    <col min="11013" max="11014" width="6.5703125" style="176" customWidth="1"/>
    <col min="11015" max="11015" width="0.28515625" style="176" customWidth="1"/>
    <col min="11016" max="11017" width="6.5703125" style="176" customWidth="1"/>
    <col min="11018" max="11018" width="0.28515625" style="176" customWidth="1"/>
    <col min="11019" max="11019" width="6.7109375" style="176" customWidth="1"/>
    <col min="11020" max="11020" width="6.5703125" style="176" customWidth="1"/>
    <col min="11021" max="11021" width="0.28515625" style="176" customWidth="1"/>
    <col min="11022" max="11022" width="6.7109375" style="176" customWidth="1"/>
    <col min="11023" max="11023" width="6.5703125" style="176" customWidth="1"/>
    <col min="11024" max="11024" width="0.28515625" style="176" customWidth="1"/>
    <col min="11025" max="11025" width="6.7109375" style="176" customWidth="1"/>
    <col min="11026" max="11026" width="6.5703125" style="176" customWidth="1"/>
    <col min="11027" max="11027" width="0.28515625" style="176" customWidth="1"/>
    <col min="11028" max="11028" width="6.7109375" style="176" customWidth="1"/>
    <col min="11029" max="11029" width="6.5703125" style="176" customWidth="1"/>
    <col min="11030" max="11030" width="0.28515625" style="176" customWidth="1"/>
    <col min="11031" max="11031" width="6.7109375" style="176" customWidth="1"/>
    <col min="11032" max="11032" width="6.5703125" style="176" customWidth="1"/>
    <col min="11033" max="11033" width="0.28515625" style="176" customWidth="1"/>
    <col min="11034" max="11034" width="6.7109375" style="176" customWidth="1"/>
    <col min="11035" max="11035" width="6.5703125" style="176" customWidth="1"/>
    <col min="11036" max="11036" width="0.28515625" style="176" customWidth="1"/>
    <col min="11037" max="11037" width="6.7109375" style="176" customWidth="1"/>
    <col min="11038" max="11038" width="6.5703125" style="176" customWidth="1"/>
    <col min="11039" max="11264" width="9.140625" style="176"/>
    <col min="11265" max="11265" width="4.28515625" style="176" customWidth="1"/>
    <col min="11266" max="11266" width="5.140625" style="176" customWidth="1"/>
    <col min="11267" max="11267" width="5.28515625" style="176" customWidth="1"/>
    <col min="11268" max="11268" width="0.28515625" style="176" customWidth="1"/>
    <col min="11269" max="11270" width="6.5703125" style="176" customWidth="1"/>
    <col min="11271" max="11271" width="0.28515625" style="176" customWidth="1"/>
    <col min="11272" max="11273" width="6.5703125" style="176" customWidth="1"/>
    <col min="11274" max="11274" width="0.28515625" style="176" customWidth="1"/>
    <col min="11275" max="11275" width="6.7109375" style="176" customWidth="1"/>
    <col min="11276" max="11276" width="6.5703125" style="176" customWidth="1"/>
    <col min="11277" max="11277" width="0.28515625" style="176" customWidth="1"/>
    <col min="11278" max="11278" width="6.7109375" style="176" customWidth="1"/>
    <col min="11279" max="11279" width="6.5703125" style="176" customWidth="1"/>
    <col min="11280" max="11280" width="0.28515625" style="176" customWidth="1"/>
    <col min="11281" max="11281" width="6.7109375" style="176" customWidth="1"/>
    <col min="11282" max="11282" width="6.5703125" style="176" customWidth="1"/>
    <col min="11283" max="11283" width="0.28515625" style="176" customWidth="1"/>
    <col min="11284" max="11284" width="6.7109375" style="176" customWidth="1"/>
    <col min="11285" max="11285" width="6.5703125" style="176" customWidth="1"/>
    <col min="11286" max="11286" width="0.28515625" style="176" customWidth="1"/>
    <col min="11287" max="11287" width="6.7109375" style="176" customWidth="1"/>
    <col min="11288" max="11288" width="6.5703125" style="176" customWidth="1"/>
    <col min="11289" max="11289" width="0.28515625" style="176" customWidth="1"/>
    <col min="11290" max="11290" width="6.7109375" style="176" customWidth="1"/>
    <col min="11291" max="11291" width="6.5703125" style="176" customWidth="1"/>
    <col min="11292" max="11292" width="0.28515625" style="176" customWidth="1"/>
    <col min="11293" max="11293" width="6.7109375" style="176" customWidth="1"/>
    <col min="11294" max="11294" width="6.5703125" style="176" customWidth="1"/>
    <col min="11295" max="11520" width="9.140625" style="176"/>
    <col min="11521" max="11521" width="4.28515625" style="176" customWidth="1"/>
    <col min="11522" max="11522" width="5.140625" style="176" customWidth="1"/>
    <col min="11523" max="11523" width="5.28515625" style="176" customWidth="1"/>
    <col min="11524" max="11524" width="0.28515625" style="176" customWidth="1"/>
    <col min="11525" max="11526" width="6.5703125" style="176" customWidth="1"/>
    <col min="11527" max="11527" width="0.28515625" style="176" customWidth="1"/>
    <col min="11528" max="11529" width="6.5703125" style="176" customWidth="1"/>
    <col min="11530" max="11530" width="0.28515625" style="176" customWidth="1"/>
    <col min="11531" max="11531" width="6.7109375" style="176" customWidth="1"/>
    <col min="11532" max="11532" width="6.5703125" style="176" customWidth="1"/>
    <col min="11533" max="11533" width="0.28515625" style="176" customWidth="1"/>
    <col min="11534" max="11534" width="6.7109375" style="176" customWidth="1"/>
    <col min="11535" max="11535" width="6.5703125" style="176" customWidth="1"/>
    <col min="11536" max="11536" width="0.28515625" style="176" customWidth="1"/>
    <col min="11537" max="11537" width="6.7109375" style="176" customWidth="1"/>
    <col min="11538" max="11538" width="6.5703125" style="176" customWidth="1"/>
    <col min="11539" max="11539" width="0.28515625" style="176" customWidth="1"/>
    <col min="11540" max="11540" width="6.7109375" style="176" customWidth="1"/>
    <col min="11541" max="11541" width="6.5703125" style="176" customWidth="1"/>
    <col min="11542" max="11542" width="0.28515625" style="176" customWidth="1"/>
    <col min="11543" max="11543" width="6.7109375" style="176" customWidth="1"/>
    <col min="11544" max="11544" width="6.5703125" style="176" customWidth="1"/>
    <col min="11545" max="11545" width="0.28515625" style="176" customWidth="1"/>
    <col min="11546" max="11546" width="6.7109375" style="176" customWidth="1"/>
    <col min="11547" max="11547" width="6.5703125" style="176" customWidth="1"/>
    <col min="11548" max="11548" width="0.28515625" style="176" customWidth="1"/>
    <col min="11549" max="11549" width="6.7109375" style="176" customWidth="1"/>
    <col min="11550" max="11550" width="6.5703125" style="176" customWidth="1"/>
    <col min="11551" max="11776" width="9.140625" style="176"/>
    <col min="11777" max="11777" width="4.28515625" style="176" customWidth="1"/>
    <col min="11778" max="11778" width="5.140625" style="176" customWidth="1"/>
    <col min="11779" max="11779" width="5.28515625" style="176" customWidth="1"/>
    <col min="11780" max="11780" width="0.28515625" style="176" customWidth="1"/>
    <col min="11781" max="11782" width="6.5703125" style="176" customWidth="1"/>
    <col min="11783" max="11783" width="0.28515625" style="176" customWidth="1"/>
    <col min="11784" max="11785" width="6.5703125" style="176" customWidth="1"/>
    <col min="11786" max="11786" width="0.28515625" style="176" customWidth="1"/>
    <col min="11787" max="11787" width="6.7109375" style="176" customWidth="1"/>
    <col min="11788" max="11788" width="6.5703125" style="176" customWidth="1"/>
    <col min="11789" max="11789" width="0.28515625" style="176" customWidth="1"/>
    <col min="11790" max="11790" width="6.7109375" style="176" customWidth="1"/>
    <col min="11791" max="11791" width="6.5703125" style="176" customWidth="1"/>
    <col min="11792" max="11792" width="0.28515625" style="176" customWidth="1"/>
    <col min="11793" max="11793" width="6.7109375" style="176" customWidth="1"/>
    <col min="11794" max="11794" width="6.5703125" style="176" customWidth="1"/>
    <col min="11795" max="11795" width="0.28515625" style="176" customWidth="1"/>
    <col min="11796" max="11796" width="6.7109375" style="176" customWidth="1"/>
    <col min="11797" max="11797" width="6.5703125" style="176" customWidth="1"/>
    <col min="11798" max="11798" width="0.28515625" style="176" customWidth="1"/>
    <col min="11799" max="11799" width="6.7109375" style="176" customWidth="1"/>
    <col min="11800" max="11800" width="6.5703125" style="176" customWidth="1"/>
    <col min="11801" max="11801" width="0.28515625" style="176" customWidth="1"/>
    <col min="11802" max="11802" width="6.7109375" style="176" customWidth="1"/>
    <col min="11803" max="11803" width="6.5703125" style="176" customWidth="1"/>
    <col min="11804" max="11804" width="0.28515625" style="176" customWidth="1"/>
    <col min="11805" max="11805" width="6.7109375" style="176" customWidth="1"/>
    <col min="11806" max="11806" width="6.5703125" style="176" customWidth="1"/>
    <col min="11807" max="12032" width="9.140625" style="176"/>
    <col min="12033" max="12033" width="4.28515625" style="176" customWidth="1"/>
    <col min="12034" max="12034" width="5.140625" style="176" customWidth="1"/>
    <col min="12035" max="12035" width="5.28515625" style="176" customWidth="1"/>
    <col min="12036" max="12036" width="0.28515625" style="176" customWidth="1"/>
    <col min="12037" max="12038" width="6.5703125" style="176" customWidth="1"/>
    <col min="12039" max="12039" width="0.28515625" style="176" customWidth="1"/>
    <col min="12040" max="12041" width="6.5703125" style="176" customWidth="1"/>
    <col min="12042" max="12042" width="0.28515625" style="176" customWidth="1"/>
    <col min="12043" max="12043" width="6.7109375" style="176" customWidth="1"/>
    <col min="12044" max="12044" width="6.5703125" style="176" customWidth="1"/>
    <col min="12045" max="12045" width="0.28515625" style="176" customWidth="1"/>
    <col min="12046" max="12046" width="6.7109375" style="176" customWidth="1"/>
    <col min="12047" max="12047" width="6.5703125" style="176" customWidth="1"/>
    <col min="12048" max="12048" width="0.28515625" style="176" customWidth="1"/>
    <col min="12049" max="12049" width="6.7109375" style="176" customWidth="1"/>
    <col min="12050" max="12050" width="6.5703125" style="176" customWidth="1"/>
    <col min="12051" max="12051" width="0.28515625" style="176" customWidth="1"/>
    <col min="12052" max="12052" width="6.7109375" style="176" customWidth="1"/>
    <col min="12053" max="12053" width="6.5703125" style="176" customWidth="1"/>
    <col min="12054" max="12054" width="0.28515625" style="176" customWidth="1"/>
    <col min="12055" max="12055" width="6.7109375" style="176" customWidth="1"/>
    <col min="12056" max="12056" width="6.5703125" style="176" customWidth="1"/>
    <col min="12057" max="12057" width="0.28515625" style="176" customWidth="1"/>
    <col min="12058" max="12058" width="6.7109375" style="176" customWidth="1"/>
    <col min="12059" max="12059" width="6.5703125" style="176" customWidth="1"/>
    <col min="12060" max="12060" width="0.28515625" style="176" customWidth="1"/>
    <col min="12061" max="12061" width="6.7109375" style="176" customWidth="1"/>
    <col min="12062" max="12062" width="6.5703125" style="176" customWidth="1"/>
    <col min="12063" max="12288" width="9.140625" style="176"/>
    <col min="12289" max="12289" width="4.28515625" style="176" customWidth="1"/>
    <col min="12290" max="12290" width="5.140625" style="176" customWidth="1"/>
    <col min="12291" max="12291" width="5.28515625" style="176" customWidth="1"/>
    <col min="12292" max="12292" width="0.28515625" style="176" customWidth="1"/>
    <col min="12293" max="12294" width="6.5703125" style="176" customWidth="1"/>
    <col min="12295" max="12295" width="0.28515625" style="176" customWidth="1"/>
    <col min="12296" max="12297" width="6.5703125" style="176" customWidth="1"/>
    <col min="12298" max="12298" width="0.28515625" style="176" customWidth="1"/>
    <col min="12299" max="12299" width="6.7109375" style="176" customWidth="1"/>
    <col min="12300" max="12300" width="6.5703125" style="176" customWidth="1"/>
    <col min="12301" max="12301" width="0.28515625" style="176" customWidth="1"/>
    <col min="12302" max="12302" width="6.7109375" style="176" customWidth="1"/>
    <col min="12303" max="12303" width="6.5703125" style="176" customWidth="1"/>
    <col min="12304" max="12304" width="0.28515625" style="176" customWidth="1"/>
    <col min="12305" max="12305" width="6.7109375" style="176" customWidth="1"/>
    <col min="12306" max="12306" width="6.5703125" style="176" customWidth="1"/>
    <col min="12307" max="12307" width="0.28515625" style="176" customWidth="1"/>
    <col min="12308" max="12308" width="6.7109375" style="176" customWidth="1"/>
    <col min="12309" max="12309" width="6.5703125" style="176" customWidth="1"/>
    <col min="12310" max="12310" width="0.28515625" style="176" customWidth="1"/>
    <col min="12311" max="12311" width="6.7109375" style="176" customWidth="1"/>
    <col min="12312" max="12312" width="6.5703125" style="176" customWidth="1"/>
    <col min="12313" max="12313" width="0.28515625" style="176" customWidth="1"/>
    <col min="12314" max="12314" width="6.7109375" style="176" customWidth="1"/>
    <col min="12315" max="12315" width="6.5703125" style="176" customWidth="1"/>
    <col min="12316" max="12316" width="0.28515625" style="176" customWidth="1"/>
    <col min="12317" max="12317" width="6.7109375" style="176" customWidth="1"/>
    <col min="12318" max="12318" width="6.5703125" style="176" customWidth="1"/>
    <col min="12319" max="12544" width="9.140625" style="176"/>
    <col min="12545" max="12545" width="4.28515625" style="176" customWidth="1"/>
    <col min="12546" max="12546" width="5.140625" style="176" customWidth="1"/>
    <col min="12547" max="12547" width="5.28515625" style="176" customWidth="1"/>
    <col min="12548" max="12548" width="0.28515625" style="176" customWidth="1"/>
    <col min="12549" max="12550" width="6.5703125" style="176" customWidth="1"/>
    <col min="12551" max="12551" width="0.28515625" style="176" customWidth="1"/>
    <col min="12552" max="12553" width="6.5703125" style="176" customWidth="1"/>
    <col min="12554" max="12554" width="0.28515625" style="176" customWidth="1"/>
    <col min="12555" max="12555" width="6.7109375" style="176" customWidth="1"/>
    <col min="12556" max="12556" width="6.5703125" style="176" customWidth="1"/>
    <col min="12557" max="12557" width="0.28515625" style="176" customWidth="1"/>
    <col min="12558" max="12558" width="6.7109375" style="176" customWidth="1"/>
    <col min="12559" max="12559" width="6.5703125" style="176" customWidth="1"/>
    <col min="12560" max="12560" width="0.28515625" style="176" customWidth="1"/>
    <col min="12561" max="12561" width="6.7109375" style="176" customWidth="1"/>
    <col min="12562" max="12562" width="6.5703125" style="176" customWidth="1"/>
    <col min="12563" max="12563" width="0.28515625" style="176" customWidth="1"/>
    <col min="12564" max="12564" width="6.7109375" style="176" customWidth="1"/>
    <col min="12565" max="12565" width="6.5703125" style="176" customWidth="1"/>
    <col min="12566" max="12566" width="0.28515625" style="176" customWidth="1"/>
    <col min="12567" max="12567" width="6.7109375" style="176" customWidth="1"/>
    <col min="12568" max="12568" width="6.5703125" style="176" customWidth="1"/>
    <col min="12569" max="12569" width="0.28515625" style="176" customWidth="1"/>
    <col min="12570" max="12570" width="6.7109375" style="176" customWidth="1"/>
    <col min="12571" max="12571" width="6.5703125" style="176" customWidth="1"/>
    <col min="12572" max="12572" width="0.28515625" style="176" customWidth="1"/>
    <col min="12573" max="12573" width="6.7109375" style="176" customWidth="1"/>
    <col min="12574" max="12574" width="6.5703125" style="176" customWidth="1"/>
    <col min="12575" max="12800" width="9.140625" style="176"/>
    <col min="12801" max="12801" width="4.28515625" style="176" customWidth="1"/>
    <col min="12802" max="12802" width="5.140625" style="176" customWidth="1"/>
    <col min="12803" max="12803" width="5.28515625" style="176" customWidth="1"/>
    <col min="12804" max="12804" width="0.28515625" style="176" customWidth="1"/>
    <col min="12805" max="12806" width="6.5703125" style="176" customWidth="1"/>
    <col min="12807" max="12807" width="0.28515625" style="176" customWidth="1"/>
    <col min="12808" max="12809" width="6.5703125" style="176" customWidth="1"/>
    <col min="12810" max="12810" width="0.28515625" style="176" customWidth="1"/>
    <col min="12811" max="12811" width="6.7109375" style="176" customWidth="1"/>
    <col min="12812" max="12812" width="6.5703125" style="176" customWidth="1"/>
    <col min="12813" max="12813" width="0.28515625" style="176" customWidth="1"/>
    <col min="12814" max="12814" width="6.7109375" style="176" customWidth="1"/>
    <col min="12815" max="12815" width="6.5703125" style="176" customWidth="1"/>
    <col min="12816" max="12816" width="0.28515625" style="176" customWidth="1"/>
    <col min="12817" max="12817" width="6.7109375" style="176" customWidth="1"/>
    <col min="12818" max="12818" width="6.5703125" style="176" customWidth="1"/>
    <col min="12819" max="12819" width="0.28515625" style="176" customWidth="1"/>
    <col min="12820" max="12820" width="6.7109375" style="176" customWidth="1"/>
    <col min="12821" max="12821" width="6.5703125" style="176" customWidth="1"/>
    <col min="12822" max="12822" width="0.28515625" style="176" customWidth="1"/>
    <col min="12823" max="12823" width="6.7109375" style="176" customWidth="1"/>
    <col min="12824" max="12824" width="6.5703125" style="176" customWidth="1"/>
    <col min="12825" max="12825" width="0.28515625" style="176" customWidth="1"/>
    <col min="12826" max="12826" width="6.7109375" style="176" customWidth="1"/>
    <col min="12827" max="12827" width="6.5703125" style="176" customWidth="1"/>
    <col min="12828" max="12828" width="0.28515625" style="176" customWidth="1"/>
    <col min="12829" max="12829" width="6.7109375" style="176" customWidth="1"/>
    <col min="12830" max="12830" width="6.5703125" style="176" customWidth="1"/>
    <col min="12831" max="13056" width="9.140625" style="176"/>
    <col min="13057" max="13057" width="4.28515625" style="176" customWidth="1"/>
    <col min="13058" max="13058" width="5.140625" style="176" customWidth="1"/>
    <col min="13059" max="13059" width="5.28515625" style="176" customWidth="1"/>
    <col min="13060" max="13060" width="0.28515625" style="176" customWidth="1"/>
    <col min="13061" max="13062" width="6.5703125" style="176" customWidth="1"/>
    <col min="13063" max="13063" width="0.28515625" style="176" customWidth="1"/>
    <col min="13064" max="13065" width="6.5703125" style="176" customWidth="1"/>
    <col min="13066" max="13066" width="0.28515625" style="176" customWidth="1"/>
    <col min="13067" max="13067" width="6.7109375" style="176" customWidth="1"/>
    <col min="13068" max="13068" width="6.5703125" style="176" customWidth="1"/>
    <col min="13069" max="13069" width="0.28515625" style="176" customWidth="1"/>
    <col min="13070" max="13070" width="6.7109375" style="176" customWidth="1"/>
    <col min="13071" max="13071" width="6.5703125" style="176" customWidth="1"/>
    <col min="13072" max="13072" width="0.28515625" style="176" customWidth="1"/>
    <col min="13073" max="13073" width="6.7109375" style="176" customWidth="1"/>
    <col min="13074" max="13074" width="6.5703125" style="176" customWidth="1"/>
    <col min="13075" max="13075" width="0.28515625" style="176" customWidth="1"/>
    <col min="13076" max="13076" width="6.7109375" style="176" customWidth="1"/>
    <col min="13077" max="13077" width="6.5703125" style="176" customWidth="1"/>
    <col min="13078" max="13078" width="0.28515625" style="176" customWidth="1"/>
    <col min="13079" max="13079" width="6.7109375" style="176" customWidth="1"/>
    <col min="13080" max="13080" width="6.5703125" style="176" customWidth="1"/>
    <col min="13081" max="13081" width="0.28515625" style="176" customWidth="1"/>
    <col min="13082" max="13082" width="6.7109375" style="176" customWidth="1"/>
    <col min="13083" max="13083" width="6.5703125" style="176" customWidth="1"/>
    <col min="13084" max="13084" width="0.28515625" style="176" customWidth="1"/>
    <col min="13085" max="13085" width="6.7109375" style="176" customWidth="1"/>
    <col min="13086" max="13086" width="6.5703125" style="176" customWidth="1"/>
    <col min="13087" max="13312" width="9.140625" style="176"/>
    <col min="13313" max="13313" width="4.28515625" style="176" customWidth="1"/>
    <col min="13314" max="13314" width="5.140625" style="176" customWidth="1"/>
    <col min="13315" max="13315" width="5.28515625" style="176" customWidth="1"/>
    <col min="13316" max="13316" width="0.28515625" style="176" customWidth="1"/>
    <col min="13317" max="13318" width="6.5703125" style="176" customWidth="1"/>
    <col min="13319" max="13319" width="0.28515625" style="176" customWidth="1"/>
    <col min="13320" max="13321" width="6.5703125" style="176" customWidth="1"/>
    <col min="13322" max="13322" width="0.28515625" style="176" customWidth="1"/>
    <col min="13323" max="13323" width="6.7109375" style="176" customWidth="1"/>
    <col min="13324" max="13324" width="6.5703125" style="176" customWidth="1"/>
    <col min="13325" max="13325" width="0.28515625" style="176" customWidth="1"/>
    <col min="13326" max="13326" width="6.7109375" style="176" customWidth="1"/>
    <col min="13327" max="13327" width="6.5703125" style="176" customWidth="1"/>
    <col min="13328" max="13328" width="0.28515625" style="176" customWidth="1"/>
    <col min="13329" max="13329" width="6.7109375" style="176" customWidth="1"/>
    <col min="13330" max="13330" width="6.5703125" style="176" customWidth="1"/>
    <col min="13331" max="13331" width="0.28515625" style="176" customWidth="1"/>
    <col min="13332" max="13332" width="6.7109375" style="176" customWidth="1"/>
    <col min="13333" max="13333" width="6.5703125" style="176" customWidth="1"/>
    <col min="13334" max="13334" width="0.28515625" style="176" customWidth="1"/>
    <col min="13335" max="13335" width="6.7109375" style="176" customWidth="1"/>
    <col min="13336" max="13336" width="6.5703125" style="176" customWidth="1"/>
    <col min="13337" max="13337" width="0.28515625" style="176" customWidth="1"/>
    <col min="13338" max="13338" width="6.7109375" style="176" customWidth="1"/>
    <col min="13339" max="13339" width="6.5703125" style="176" customWidth="1"/>
    <col min="13340" max="13340" width="0.28515625" style="176" customWidth="1"/>
    <col min="13341" max="13341" width="6.7109375" style="176" customWidth="1"/>
    <col min="13342" max="13342" width="6.5703125" style="176" customWidth="1"/>
    <col min="13343" max="13568" width="9.140625" style="176"/>
    <col min="13569" max="13569" width="4.28515625" style="176" customWidth="1"/>
    <col min="13570" max="13570" width="5.140625" style="176" customWidth="1"/>
    <col min="13571" max="13571" width="5.28515625" style="176" customWidth="1"/>
    <col min="13572" max="13572" width="0.28515625" style="176" customWidth="1"/>
    <col min="13573" max="13574" width="6.5703125" style="176" customWidth="1"/>
    <col min="13575" max="13575" width="0.28515625" style="176" customWidth="1"/>
    <col min="13576" max="13577" width="6.5703125" style="176" customWidth="1"/>
    <col min="13578" max="13578" width="0.28515625" style="176" customWidth="1"/>
    <col min="13579" max="13579" width="6.7109375" style="176" customWidth="1"/>
    <col min="13580" max="13580" width="6.5703125" style="176" customWidth="1"/>
    <col min="13581" max="13581" width="0.28515625" style="176" customWidth="1"/>
    <col min="13582" max="13582" width="6.7109375" style="176" customWidth="1"/>
    <col min="13583" max="13583" width="6.5703125" style="176" customWidth="1"/>
    <col min="13584" max="13584" width="0.28515625" style="176" customWidth="1"/>
    <col min="13585" max="13585" width="6.7109375" style="176" customWidth="1"/>
    <col min="13586" max="13586" width="6.5703125" style="176" customWidth="1"/>
    <col min="13587" max="13587" width="0.28515625" style="176" customWidth="1"/>
    <col min="13588" max="13588" width="6.7109375" style="176" customWidth="1"/>
    <col min="13589" max="13589" width="6.5703125" style="176" customWidth="1"/>
    <col min="13590" max="13590" width="0.28515625" style="176" customWidth="1"/>
    <col min="13591" max="13591" width="6.7109375" style="176" customWidth="1"/>
    <col min="13592" max="13592" width="6.5703125" style="176" customWidth="1"/>
    <col min="13593" max="13593" width="0.28515625" style="176" customWidth="1"/>
    <col min="13594" max="13594" width="6.7109375" style="176" customWidth="1"/>
    <col min="13595" max="13595" width="6.5703125" style="176" customWidth="1"/>
    <col min="13596" max="13596" width="0.28515625" style="176" customWidth="1"/>
    <col min="13597" max="13597" width="6.7109375" style="176" customWidth="1"/>
    <col min="13598" max="13598" width="6.5703125" style="176" customWidth="1"/>
    <col min="13599" max="13824" width="9.140625" style="176"/>
    <col min="13825" max="13825" width="4.28515625" style="176" customWidth="1"/>
    <col min="13826" max="13826" width="5.140625" style="176" customWidth="1"/>
    <col min="13827" max="13827" width="5.28515625" style="176" customWidth="1"/>
    <col min="13828" max="13828" width="0.28515625" style="176" customWidth="1"/>
    <col min="13829" max="13830" width="6.5703125" style="176" customWidth="1"/>
    <col min="13831" max="13831" width="0.28515625" style="176" customWidth="1"/>
    <col min="13832" max="13833" width="6.5703125" style="176" customWidth="1"/>
    <col min="13834" max="13834" width="0.28515625" style="176" customWidth="1"/>
    <col min="13835" max="13835" width="6.7109375" style="176" customWidth="1"/>
    <col min="13836" max="13836" width="6.5703125" style="176" customWidth="1"/>
    <col min="13837" max="13837" width="0.28515625" style="176" customWidth="1"/>
    <col min="13838" max="13838" width="6.7109375" style="176" customWidth="1"/>
    <col min="13839" max="13839" width="6.5703125" style="176" customWidth="1"/>
    <col min="13840" max="13840" width="0.28515625" style="176" customWidth="1"/>
    <col min="13841" max="13841" width="6.7109375" style="176" customWidth="1"/>
    <col min="13842" max="13842" width="6.5703125" style="176" customWidth="1"/>
    <col min="13843" max="13843" width="0.28515625" style="176" customWidth="1"/>
    <col min="13844" max="13844" width="6.7109375" style="176" customWidth="1"/>
    <col min="13845" max="13845" width="6.5703125" style="176" customWidth="1"/>
    <col min="13846" max="13846" width="0.28515625" style="176" customWidth="1"/>
    <col min="13847" max="13847" width="6.7109375" style="176" customWidth="1"/>
    <col min="13848" max="13848" width="6.5703125" style="176" customWidth="1"/>
    <col min="13849" max="13849" width="0.28515625" style="176" customWidth="1"/>
    <col min="13850" max="13850" width="6.7109375" style="176" customWidth="1"/>
    <col min="13851" max="13851" width="6.5703125" style="176" customWidth="1"/>
    <col min="13852" max="13852" width="0.28515625" style="176" customWidth="1"/>
    <col min="13853" max="13853" width="6.7109375" style="176" customWidth="1"/>
    <col min="13854" max="13854" width="6.5703125" style="176" customWidth="1"/>
    <col min="13855" max="14080" width="9.140625" style="176"/>
    <col min="14081" max="14081" width="4.28515625" style="176" customWidth="1"/>
    <col min="14082" max="14082" width="5.140625" style="176" customWidth="1"/>
    <col min="14083" max="14083" width="5.28515625" style="176" customWidth="1"/>
    <col min="14084" max="14084" width="0.28515625" style="176" customWidth="1"/>
    <col min="14085" max="14086" width="6.5703125" style="176" customWidth="1"/>
    <col min="14087" max="14087" width="0.28515625" style="176" customWidth="1"/>
    <col min="14088" max="14089" width="6.5703125" style="176" customWidth="1"/>
    <col min="14090" max="14090" width="0.28515625" style="176" customWidth="1"/>
    <col min="14091" max="14091" width="6.7109375" style="176" customWidth="1"/>
    <col min="14092" max="14092" width="6.5703125" style="176" customWidth="1"/>
    <col min="14093" max="14093" width="0.28515625" style="176" customWidth="1"/>
    <col min="14094" max="14094" width="6.7109375" style="176" customWidth="1"/>
    <col min="14095" max="14095" width="6.5703125" style="176" customWidth="1"/>
    <col min="14096" max="14096" width="0.28515625" style="176" customWidth="1"/>
    <col min="14097" max="14097" width="6.7109375" style="176" customWidth="1"/>
    <col min="14098" max="14098" width="6.5703125" style="176" customWidth="1"/>
    <col min="14099" max="14099" width="0.28515625" style="176" customWidth="1"/>
    <col min="14100" max="14100" width="6.7109375" style="176" customWidth="1"/>
    <col min="14101" max="14101" width="6.5703125" style="176" customWidth="1"/>
    <col min="14102" max="14102" width="0.28515625" style="176" customWidth="1"/>
    <col min="14103" max="14103" width="6.7109375" style="176" customWidth="1"/>
    <col min="14104" max="14104" width="6.5703125" style="176" customWidth="1"/>
    <col min="14105" max="14105" width="0.28515625" style="176" customWidth="1"/>
    <col min="14106" max="14106" width="6.7109375" style="176" customWidth="1"/>
    <col min="14107" max="14107" width="6.5703125" style="176" customWidth="1"/>
    <col min="14108" max="14108" width="0.28515625" style="176" customWidth="1"/>
    <col min="14109" max="14109" width="6.7109375" style="176" customWidth="1"/>
    <col min="14110" max="14110" width="6.5703125" style="176" customWidth="1"/>
    <col min="14111" max="14336" width="9.140625" style="176"/>
    <col min="14337" max="14337" width="4.28515625" style="176" customWidth="1"/>
    <col min="14338" max="14338" width="5.140625" style="176" customWidth="1"/>
    <col min="14339" max="14339" width="5.28515625" style="176" customWidth="1"/>
    <col min="14340" max="14340" width="0.28515625" style="176" customWidth="1"/>
    <col min="14341" max="14342" width="6.5703125" style="176" customWidth="1"/>
    <col min="14343" max="14343" width="0.28515625" style="176" customWidth="1"/>
    <col min="14344" max="14345" width="6.5703125" style="176" customWidth="1"/>
    <col min="14346" max="14346" width="0.28515625" style="176" customWidth="1"/>
    <col min="14347" max="14347" width="6.7109375" style="176" customWidth="1"/>
    <col min="14348" max="14348" width="6.5703125" style="176" customWidth="1"/>
    <col min="14349" max="14349" width="0.28515625" style="176" customWidth="1"/>
    <col min="14350" max="14350" width="6.7109375" style="176" customWidth="1"/>
    <col min="14351" max="14351" width="6.5703125" style="176" customWidth="1"/>
    <col min="14352" max="14352" width="0.28515625" style="176" customWidth="1"/>
    <col min="14353" max="14353" width="6.7109375" style="176" customWidth="1"/>
    <col min="14354" max="14354" width="6.5703125" style="176" customWidth="1"/>
    <col min="14355" max="14355" width="0.28515625" style="176" customWidth="1"/>
    <col min="14356" max="14356" width="6.7109375" style="176" customWidth="1"/>
    <col min="14357" max="14357" width="6.5703125" style="176" customWidth="1"/>
    <col min="14358" max="14358" width="0.28515625" style="176" customWidth="1"/>
    <col min="14359" max="14359" width="6.7109375" style="176" customWidth="1"/>
    <col min="14360" max="14360" width="6.5703125" style="176" customWidth="1"/>
    <col min="14361" max="14361" width="0.28515625" style="176" customWidth="1"/>
    <col min="14362" max="14362" width="6.7109375" style="176" customWidth="1"/>
    <col min="14363" max="14363" width="6.5703125" style="176" customWidth="1"/>
    <col min="14364" max="14364" width="0.28515625" style="176" customWidth="1"/>
    <col min="14365" max="14365" width="6.7109375" style="176" customWidth="1"/>
    <col min="14366" max="14366" width="6.5703125" style="176" customWidth="1"/>
    <col min="14367" max="14592" width="9.140625" style="176"/>
    <col min="14593" max="14593" width="4.28515625" style="176" customWidth="1"/>
    <col min="14594" max="14594" width="5.140625" style="176" customWidth="1"/>
    <col min="14595" max="14595" width="5.28515625" style="176" customWidth="1"/>
    <col min="14596" max="14596" width="0.28515625" style="176" customWidth="1"/>
    <col min="14597" max="14598" width="6.5703125" style="176" customWidth="1"/>
    <col min="14599" max="14599" width="0.28515625" style="176" customWidth="1"/>
    <col min="14600" max="14601" width="6.5703125" style="176" customWidth="1"/>
    <col min="14602" max="14602" width="0.28515625" style="176" customWidth="1"/>
    <col min="14603" max="14603" width="6.7109375" style="176" customWidth="1"/>
    <col min="14604" max="14604" width="6.5703125" style="176" customWidth="1"/>
    <col min="14605" max="14605" width="0.28515625" style="176" customWidth="1"/>
    <col min="14606" max="14606" width="6.7109375" style="176" customWidth="1"/>
    <col min="14607" max="14607" width="6.5703125" style="176" customWidth="1"/>
    <col min="14608" max="14608" width="0.28515625" style="176" customWidth="1"/>
    <col min="14609" max="14609" width="6.7109375" style="176" customWidth="1"/>
    <col min="14610" max="14610" width="6.5703125" style="176" customWidth="1"/>
    <col min="14611" max="14611" width="0.28515625" style="176" customWidth="1"/>
    <col min="14612" max="14612" width="6.7109375" style="176" customWidth="1"/>
    <col min="14613" max="14613" width="6.5703125" style="176" customWidth="1"/>
    <col min="14614" max="14614" width="0.28515625" style="176" customWidth="1"/>
    <col min="14615" max="14615" width="6.7109375" style="176" customWidth="1"/>
    <col min="14616" max="14616" width="6.5703125" style="176" customWidth="1"/>
    <col min="14617" max="14617" width="0.28515625" style="176" customWidth="1"/>
    <col min="14618" max="14618" width="6.7109375" style="176" customWidth="1"/>
    <col min="14619" max="14619" width="6.5703125" style="176" customWidth="1"/>
    <col min="14620" max="14620" width="0.28515625" style="176" customWidth="1"/>
    <col min="14621" max="14621" width="6.7109375" style="176" customWidth="1"/>
    <col min="14622" max="14622" width="6.5703125" style="176" customWidth="1"/>
    <col min="14623" max="14848" width="9.140625" style="176"/>
    <col min="14849" max="14849" width="4.28515625" style="176" customWidth="1"/>
    <col min="14850" max="14850" width="5.140625" style="176" customWidth="1"/>
    <col min="14851" max="14851" width="5.28515625" style="176" customWidth="1"/>
    <col min="14852" max="14852" width="0.28515625" style="176" customWidth="1"/>
    <col min="14853" max="14854" width="6.5703125" style="176" customWidth="1"/>
    <col min="14855" max="14855" width="0.28515625" style="176" customWidth="1"/>
    <col min="14856" max="14857" width="6.5703125" style="176" customWidth="1"/>
    <col min="14858" max="14858" width="0.28515625" style="176" customWidth="1"/>
    <col min="14859" max="14859" width="6.7109375" style="176" customWidth="1"/>
    <col min="14860" max="14860" width="6.5703125" style="176" customWidth="1"/>
    <col min="14861" max="14861" width="0.28515625" style="176" customWidth="1"/>
    <col min="14862" max="14862" width="6.7109375" style="176" customWidth="1"/>
    <col min="14863" max="14863" width="6.5703125" style="176" customWidth="1"/>
    <col min="14864" max="14864" width="0.28515625" style="176" customWidth="1"/>
    <col min="14865" max="14865" width="6.7109375" style="176" customWidth="1"/>
    <col min="14866" max="14866" width="6.5703125" style="176" customWidth="1"/>
    <col min="14867" max="14867" width="0.28515625" style="176" customWidth="1"/>
    <col min="14868" max="14868" width="6.7109375" style="176" customWidth="1"/>
    <col min="14869" max="14869" width="6.5703125" style="176" customWidth="1"/>
    <col min="14870" max="14870" width="0.28515625" style="176" customWidth="1"/>
    <col min="14871" max="14871" width="6.7109375" style="176" customWidth="1"/>
    <col min="14872" max="14872" width="6.5703125" style="176" customWidth="1"/>
    <col min="14873" max="14873" width="0.28515625" style="176" customWidth="1"/>
    <col min="14874" max="14874" width="6.7109375" style="176" customWidth="1"/>
    <col min="14875" max="14875" width="6.5703125" style="176" customWidth="1"/>
    <col min="14876" max="14876" width="0.28515625" style="176" customWidth="1"/>
    <col min="14877" max="14877" width="6.7109375" style="176" customWidth="1"/>
    <col min="14878" max="14878" width="6.5703125" style="176" customWidth="1"/>
    <col min="14879" max="15104" width="9.140625" style="176"/>
    <col min="15105" max="15105" width="4.28515625" style="176" customWidth="1"/>
    <col min="15106" max="15106" width="5.140625" style="176" customWidth="1"/>
    <col min="15107" max="15107" width="5.28515625" style="176" customWidth="1"/>
    <col min="15108" max="15108" width="0.28515625" style="176" customWidth="1"/>
    <col min="15109" max="15110" width="6.5703125" style="176" customWidth="1"/>
    <col min="15111" max="15111" width="0.28515625" style="176" customWidth="1"/>
    <col min="15112" max="15113" width="6.5703125" style="176" customWidth="1"/>
    <col min="15114" max="15114" width="0.28515625" style="176" customWidth="1"/>
    <col min="15115" max="15115" width="6.7109375" style="176" customWidth="1"/>
    <col min="15116" max="15116" width="6.5703125" style="176" customWidth="1"/>
    <col min="15117" max="15117" width="0.28515625" style="176" customWidth="1"/>
    <col min="15118" max="15118" width="6.7109375" style="176" customWidth="1"/>
    <col min="15119" max="15119" width="6.5703125" style="176" customWidth="1"/>
    <col min="15120" max="15120" width="0.28515625" style="176" customWidth="1"/>
    <col min="15121" max="15121" width="6.7109375" style="176" customWidth="1"/>
    <col min="15122" max="15122" width="6.5703125" style="176" customWidth="1"/>
    <col min="15123" max="15123" width="0.28515625" style="176" customWidth="1"/>
    <col min="15124" max="15124" width="6.7109375" style="176" customWidth="1"/>
    <col min="15125" max="15125" width="6.5703125" style="176" customWidth="1"/>
    <col min="15126" max="15126" width="0.28515625" style="176" customWidth="1"/>
    <col min="15127" max="15127" width="6.7109375" style="176" customWidth="1"/>
    <col min="15128" max="15128" width="6.5703125" style="176" customWidth="1"/>
    <col min="15129" max="15129" width="0.28515625" style="176" customWidth="1"/>
    <col min="15130" max="15130" width="6.7109375" style="176" customWidth="1"/>
    <col min="15131" max="15131" width="6.5703125" style="176" customWidth="1"/>
    <col min="15132" max="15132" width="0.28515625" style="176" customWidth="1"/>
    <col min="15133" max="15133" width="6.7109375" style="176" customWidth="1"/>
    <col min="15134" max="15134" width="6.5703125" style="176" customWidth="1"/>
    <col min="15135" max="15360" width="9.140625" style="176"/>
    <col min="15361" max="15361" width="4.28515625" style="176" customWidth="1"/>
    <col min="15362" max="15362" width="5.140625" style="176" customWidth="1"/>
    <col min="15363" max="15363" width="5.28515625" style="176" customWidth="1"/>
    <col min="15364" max="15364" width="0.28515625" style="176" customWidth="1"/>
    <col min="15365" max="15366" width="6.5703125" style="176" customWidth="1"/>
    <col min="15367" max="15367" width="0.28515625" style="176" customWidth="1"/>
    <col min="15368" max="15369" width="6.5703125" style="176" customWidth="1"/>
    <col min="15370" max="15370" width="0.28515625" style="176" customWidth="1"/>
    <col min="15371" max="15371" width="6.7109375" style="176" customWidth="1"/>
    <col min="15372" max="15372" width="6.5703125" style="176" customWidth="1"/>
    <col min="15373" max="15373" width="0.28515625" style="176" customWidth="1"/>
    <col min="15374" max="15374" width="6.7109375" style="176" customWidth="1"/>
    <col min="15375" max="15375" width="6.5703125" style="176" customWidth="1"/>
    <col min="15376" max="15376" width="0.28515625" style="176" customWidth="1"/>
    <col min="15377" max="15377" width="6.7109375" style="176" customWidth="1"/>
    <col min="15378" max="15378" width="6.5703125" style="176" customWidth="1"/>
    <col min="15379" max="15379" width="0.28515625" style="176" customWidth="1"/>
    <col min="15380" max="15380" width="6.7109375" style="176" customWidth="1"/>
    <col min="15381" max="15381" width="6.5703125" style="176" customWidth="1"/>
    <col min="15382" max="15382" width="0.28515625" style="176" customWidth="1"/>
    <col min="15383" max="15383" width="6.7109375" style="176" customWidth="1"/>
    <col min="15384" max="15384" width="6.5703125" style="176" customWidth="1"/>
    <col min="15385" max="15385" width="0.28515625" style="176" customWidth="1"/>
    <col min="15386" max="15386" width="6.7109375" style="176" customWidth="1"/>
    <col min="15387" max="15387" width="6.5703125" style="176" customWidth="1"/>
    <col min="15388" max="15388" width="0.28515625" style="176" customWidth="1"/>
    <col min="15389" max="15389" width="6.7109375" style="176" customWidth="1"/>
    <col min="15390" max="15390" width="6.5703125" style="176" customWidth="1"/>
    <col min="15391" max="15616" width="9.140625" style="176"/>
    <col min="15617" max="15617" width="4.28515625" style="176" customWidth="1"/>
    <col min="15618" max="15618" width="5.140625" style="176" customWidth="1"/>
    <col min="15619" max="15619" width="5.28515625" style="176" customWidth="1"/>
    <col min="15620" max="15620" width="0.28515625" style="176" customWidth="1"/>
    <col min="15621" max="15622" width="6.5703125" style="176" customWidth="1"/>
    <col min="15623" max="15623" width="0.28515625" style="176" customWidth="1"/>
    <col min="15624" max="15625" width="6.5703125" style="176" customWidth="1"/>
    <col min="15626" max="15626" width="0.28515625" style="176" customWidth="1"/>
    <col min="15627" max="15627" width="6.7109375" style="176" customWidth="1"/>
    <col min="15628" max="15628" width="6.5703125" style="176" customWidth="1"/>
    <col min="15629" max="15629" width="0.28515625" style="176" customWidth="1"/>
    <col min="15630" max="15630" width="6.7109375" style="176" customWidth="1"/>
    <col min="15631" max="15631" width="6.5703125" style="176" customWidth="1"/>
    <col min="15632" max="15632" width="0.28515625" style="176" customWidth="1"/>
    <col min="15633" max="15633" width="6.7109375" style="176" customWidth="1"/>
    <col min="15634" max="15634" width="6.5703125" style="176" customWidth="1"/>
    <col min="15635" max="15635" width="0.28515625" style="176" customWidth="1"/>
    <col min="15636" max="15636" width="6.7109375" style="176" customWidth="1"/>
    <col min="15637" max="15637" width="6.5703125" style="176" customWidth="1"/>
    <col min="15638" max="15638" width="0.28515625" style="176" customWidth="1"/>
    <col min="15639" max="15639" width="6.7109375" style="176" customWidth="1"/>
    <col min="15640" max="15640" width="6.5703125" style="176" customWidth="1"/>
    <col min="15641" max="15641" width="0.28515625" style="176" customWidth="1"/>
    <col min="15642" max="15642" width="6.7109375" style="176" customWidth="1"/>
    <col min="15643" max="15643" width="6.5703125" style="176" customWidth="1"/>
    <col min="15644" max="15644" width="0.28515625" style="176" customWidth="1"/>
    <col min="15645" max="15645" width="6.7109375" style="176" customWidth="1"/>
    <col min="15646" max="15646" width="6.5703125" style="176" customWidth="1"/>
    <col min="15647" max="15872" width="9.140625" style="176"/>
    <col min="15873" max="15873" width="4.28515625" style="176" customWidth="1"/>
    <col min="15874" max="15874" width="5.140625" style="176" customWidth="1"/>
    <col min="15875" max="15875" width="5.28515625" style="176" customWidth="1"/>
    <col min="15876" max="15876" width="0.28515625" style="176" customWidth="1"/>
    <col min="15877" max="15878" width="6.5703125" style="176" customWidth="1"/>
    <col min="15879" max="15879" width="0.28515625" style="176" customWidth="1"/>
    <col min="15880" max="15881" width="6.5703125" style="176" customWidth="1"/>
    <col min="15882" max="15882" width="0.28515625" style="176" customWidth="1"/>
    <col min="15883" max="15883" width="6.7109375" style="176" customWidth="1"/>
    <col min="15884" max="15884" width="6.5703125" style="176" customWidth="1"/>
    <col min="15885" max="15885" width="0.28515625" style="176" customWidth="1"/>
    <col min="15886" max="15886" width="6.7109375" style="176" customWidth="1"/>
    <col min="15887" max="15887" width="6.5703125" style="176" customWidth="1"/>
    <col min="15888" max="15888" width="0.28515625" style="176" customWidth="1"/>
    <col min="15889" max="15889" width="6.7109375" style="176" customWidth="1"/>
    <col min="15890" max="15890" width="6.5703125" style="176" customWidth="1"/>
    <col min="15891" max="15891" width="0.28515625" style="176" customWidth="1"/>
    <col min="15892" max="15892" width="6.7109375" style="176" customWidth="1"/>
    <col min="15893" max="15893" width="6.5703125" style="176" customWidth="1"/>
    <col min="15894" max="15894" width="0.28515625" style="176" customWidth="1"/>
    <col min="15895" max="15895" width="6.7109375" style="176" customWidth="1"/>
    <col min="15896" max="15896" width="6.5703125" style="176" customWidth="1"/>
    <col min="15897" max="15897" width="0.28515625" style="176" customWidth="1"/>
    <col min="15898" max="15898" width="6.7109375" style="176" customWidth="1"/>
    <col min="15899" max="15899" width="6.5703125" style="176" customWidth="1"/>
    <col min="15900" max="15900" width="0.28515625" style="176" customWidth="1"/>
    <col min="15901" max="15901" width="6.7109375" style="176" customWidth="1"/>
    <col min="15902" max="15902" width="6.5703125" style="176" customWidth="1"/>
    <col min="15903" max="16128" width="9.140625" style="176"/>
    <col min="16129" max="16129" width="4.28515625" style="176" customWidth="1"/>
    <col min="16130" max="16130" width="5.140625" style="176" customWidth="1"/>
    <col min="16131" max="16131" width="5.28515625" style="176" customWidth="1"/>
    <col min="16132" max="16132" width="0.28515625" style="176" customWidth="1"/>
    <col min="16133" max="16134" width="6.5703125" style="176" customWidth="1"/>
    <col min="16135" max="16135" width="0.28515625" style="176" customWidth="1"/>
    <col min="16136" max="16137" width="6.5703125" style="176" customWidth="1"/>
    <col min="16138" max="16138" width="0.28515625" style="176" customWidth="1"/>
    <col min="16139" max="16139" width="6.7109375" style="176" customWidth="1"/>
    <col min="16140" max="16140" width="6.5703125" style="176" customWidth="1"/>
    <col min="16141" max="16141" width="0.28515625" style="176" customWidth="1"/>
    <col min="16142" max="16142" width="6.7109375" style="176" customWidth="1"/>
    <col min="16143" max="16143" width="6.5703125" style="176" customWidth="1"/>
    <col min="16144" max="16144" width="0.28515625" style="176" customWidth="1"/>
    <col min="16145" max="16145" width="6.7109375" style="176" customWidth="1"/>
    <col min="16146" max="16146" width="6.5703125" style="176" customWidth="1"/>
    <col min="16147" max="16147" width="0.28515625" style="176" customWidth="1"/>
    <col min="16148" max="16148" width="6.7109375" style="176" customWidth="1"/>
    <col min="16149" max="16149" width="6.5703125" style="176" customWidth="1"/>
    <col min="16150" max="16150" width="0.28515625" style="176" customWidth="1"/>
    <col min="16151" max="16151" width="6.7109375" style="176" customWidth="1"/>
    <col min="16152" max="16152" width="6.5703125" style="176" customWidth="1"/>
    <col min="16153" max="16153" width="0.28515625" style="176" customWidth="1"/>
    <col min="16154" max="16154" width="6.7109375" style="176" customWidth="1"/>
    <col min="16155" max="16155" width="6.5703125" style="176" customWidth="1"/>
    <col min="16156" max="16156" width="0.28515625" style="176" customWidth="1"/>
    <col min="16157" max="16157" width="6.7109375" style="176" customWidth="1"/>
    <col min="16158" max="16158" width="6.5703125" style="176" customWidth="1"/>
    <col min="16159" max="16384" width="9.140625" style="176"/>
  </cols>
  <sheetData>
    <row r="1" spans="1:30" ht="55.5" customHeight="1" x14ac:dyDescent="0.2">
      <c r="A1" s="381" t="s">
        <v>770</v>
      </c>
      <c r="B1" s="381"/>
      <c r="C1" s="381"/>
      <c r="D1" s="381"/>
      <c r="E1" s="381"/>
      <c r="F1" s="381"/>
      <c r="G1" s="381"/>
      <c r="H1" s="381"/>
      <c r="I1" s="381"/>
      <c r="J1" s="381"/>
      <c r="K1" s="381"/>
      <c r="L1" s="381"/>
      <c r="M1" s="381"/>
      <c r="N1" s="381"/>
      <c r="O1" s="381"/>
      <c r="P1" s="381"/>
      <c r="Q1" s="381"/>
      <c r="R1" s="381"/>
      <c r="S1" s="381"/>
      <c r="T1" s="381"/>
      <c r="U1" s="381"/>
      <c r="V1" s="381"/>
      <c r="W1" s="381"/>
      <c r="X1" s="381"/>
      <c r="Y1" s="306"/>
      <c r="Z1" s="306"/>
      <c r="AA1" s="306"/>
      <c r="AB1" s="306"/>
      <c r="AC1" s="306"/>
      <c r="AD1" s="306"/>
    </row>
    <row r="2" spans="1:30" ht="21" customHeight="1" x14ac:dyDescent="0.2">
      <c r="A2" s="382" t="s">
        <v>15</v>
      </c>
      <c r="B2" s="382"/>
      <c r="C2" s="382"/>
      <c r="D2" s="382"/>
      <c r="E2" s="382"/>
      <c r="F2" s="382"/>
      <c r="G2" s="382"/>
      <c r="H2" s="382"/>
      <c r="I2" s="382"/>
      <c r="J2" s="382"/>
      <c r="K2" s="382"/>
      <c r="L2" s="382"/>
      <c r="M2" s="382"/>
      <c r="N2" s="382"/>
      <c r="O2" s="382"/>
      <c r="P2" s="382"/>
      <c r="Q2" s="382"/>
      <c r="R2" s="382"/>
      <c r="S2" s="382"/>
      <c r="T2" s="382"/>
      <c r="U2" s="382"/>
      <c r="V2" s="382"/>
      <c r="W2" s="382"/>
      <c r="X2" s="382"/>
      <c r="Y2" s="383"/>
      <c r="Z2" s="383"/>
      <c r="AA2" s="383"/>
      <c r="AB2" s="306"/>
      <c r="AC2" s="306"/>
      <c r="AD2" s="306"/>
    </row>
    <row r="3" spans="1:30" ht="16.5" x14ac:dyDescent="0.25">
      <c r="A3" s="177"/>
      <c r="B3" s="177"/>
      <c r="C3" s="177"/>
      <c r="D3" s="177"/>
      <c r="E3" s="177"/>
      <c r="F3" s="177"/>
      <c r="G3" s="177"/>
      <c r="H3" s="177"/>
      <c r="I3" s="177"/>
      <c r="J3" s="177"/>
      <c r="K3" s="177"/>
      <c r="L3" s="177"/>
      <c r="M3" s="177"/>
      <c r="N3" s="177"/>
      <c r="O3" s="177"/>
      <c r="P3" s="177"/>
      <c r="Q3" s="177"/>
      <c r="R3" s="177"/>
      <c r="S3" s="177"/>
      <c r="T3" s="178"/>
      <c r="U3" s="178"/>
      <c r="V3" s="177"/>
      <c r="W3" s="178"/>
      <c r="X3" s="178"/>
      <c r="Y3" s="177"/>
      <c r="Z3" s="178"/>
      <c r="AA3" s="178"/>
      <c r="AB3" s="177"/>
    </row>
    <row r="4" spans="1:30" s="191" customFormat="1" ht="14.1" customHeight="1" x14ac:dyDescent="0.2">
      <c r="A4" s="190"/>
      <c r="B4" s="190"/>
      <c r="C4" s="190" t="s">
        <v>16</v>
      </c>
      <c r="D4" s="190"/>
      <c r="E4" s="384" t="s">
        <v>765</v>
      </c>
      <c r="F4" s="384"/>
      <c r="G4" s="190"/>
      <c r="H4" s="384" t="s">
        <v>766</v>
      </c>
      <c r="I4" s="384"/>
      <c r="J4" s="384"/>
      <c r="K4" s="384"/>
      <c r="L4" s="384"/>
      <c r="M4" s="384"/>
      <c r="N4" s="384"/>
      <c r="O4" s="384"/>
      <c r="P4" s="384"/>
      <c r="Q4" s="384"/>
      <c r="R4" s="384"/>
      <c r="S4" s="384"/>
      <c r="T4" s="384"/>
      <c r="U4" s="384"/>
      <c r="V4" s="384"/>
      <c r="W4" s="384"/>
      <c r="X4" s="384"/>
      <c r="Y4" s="385"/>
      <c r="Z4" s="385"/>
      <c r="AA4" s="385"/>
      <c r="AB4" s="385"/>
      <c r="AC4" s="385"/>
      <c r="AD4" s="385"/>
    </row>
    <row r="5" spans="1:30" s="191" customFormat="1" ht="14.1" customHeight="1" x14ac:dyDescent="0.2">
      <c r="A5" s="192" t="s">
        <v>12</v>
      </c>
      <c r="B5" s="192" t="s">
        <v>0</v>
      </c>
      <c r="C5" s="192" t="s">
        <v>17</v>
      </c>
      <c r="D5" s="192"/>
      <c r="E5" s="192" t="s">
        <v>767</v>
      </c>
      <c r="F5" s="192" t="s">
        <v>767</v>
      </c>
      <c r="G5" s="192"/>
      <c r="H5" s="192" t="s">
        <v>768</v>
      </c>
      <c r="I5" s="192" t="s">
        <v>767</v>
      </c>
      <c r="J5" s="192"/>
      <c r="K5" s="192" t="s">
        <v>768</v>
      </c>
      <c r="L5" s="192" t="s">
        <v>767</v>
      </c>
      <c r="M5" s="192"/>
      <c r="N5" s="192" t="s">
        <v>768</v>
      </c>
      <c r="O5" s="192" t="s">
        <v>767</v>
      </c>
      <c r="P5" s="192"/>
      <c r="Q5" s="192" t="s">
        <v>768</v>
      </c>
      <c r="R5" s="192" t="s">
        <v>767</v>
      </c>
      <c r="S5" s="192"/>
      <c r="T5" s="192" t="s">
        <v>768</v>
      </c>
      <c r="U5" s="192" t="s">
        <v>767</v>
      </c>
      <c r="V5" s="192"/>
      <c r="W5" s="192" t="s">
        <v>768</v>
      </c>
      <c r="X5" s="192" t="s">
        <v>767</v>
      </c>
      <c r="Y5" s="192"/>
      <c r="Z5" s="192" t="s">
        <v>768</v>
      </c>
      <c r="AA5" s="192" t="s">
        <v>767</v>
      </c>
      <c r="AB5" s="192"/>
      <c r="AC5" s="192" t="s">
        <v>768</v>
      </c>
      <c r="AD5" s="192" t="s">
        <v>767</v>
      </c>
    </row>
    <row r="6" spans="1:30" s="194" customFormat="1" ht="14.1" customHeight="1" x14ac:dyDescent="0.2">
      <c r="A6" s="193" t="s">
        <v>14</v>
      </c>
      <c r="B6" s="193" t="s">
        <v>1</v>
      </c>
      <c r="C6" s="193" t="s">
        <v>2</v>
      </c>
      <c r="D6" s="193"/>
      <c r="E6" s="193" t="s">
        <v>3</v>
      </c>
      <c r="F6" s="193" t="s">
        <v>4</v>
      </c>
      <c r="G6" s="193"/>
      <c r="H6" s="193" t="s">
        <v>18</v>
      </c>
      <c r="I6" s="193" t="s">
        <v>6</v>
      </c>
      <c r="J6" s="193"/>
      <c r="K6" s="193" t="s">
        <v>5</v>
      </c>
      <c r="L6" s="193" t="s">
        <v>8</v>
      </c>
      <c r="M6" s="193"/>
      <c r="N6" s="193" t="s">
        <v>7</v>
      </c>
      <c r="O6" s="193" t="s">
        <v>11</v>
      </c>
      <c r="P6" s="193"/>
      <c r="Q6" s="193" t="s">
        <v>9</v>
      </c>
      <c r="R6" s="193" t="s">
        <v>10</v>
      </c>
      <c r="S6" s="193"/>
      <c r="T6" s="193" t="s">
        <v>769</v>
      </c>
      <c r="U6" s="193" t="s">
        <v>110</v>
      </c>
      <c r="V6" s="193"/>
      <c r="W6" s="193" t="s">
        <v>111</v>
      </c>
      <c r="X6" s="193" t="s">
        <v>112</v>
      </c>
      <c r="Y6" s="193"/>
      <c r="Z6" s="193" t="s">
        <v>131</v>
      </c>
      <c r="AA6" s="193" t="s">
        <v>132</v>
      </c>
      <c r="AB6" s="193"/>
      <c r="AC6" s="193" t="s">
        <v>140</v>
      </c>
      <c r="AD6" s="193" t="s">
        <v>141</v>
      </c>
    </row>
    <row r="7" spans="1:30" s="179" customFormat="1" ht="35.25" customHeight="1" x14ac:dyDescent="0.2">
      <c r="A7" s="195">
        <v>2004</v>
      </c>
      <c r="B7" s="196" t="s">
        <v>92</v>
      </c>
      <c r="C7" s="196" t="s">
        <v>92</v>
      </c>
      <c r="D7" s="196"/>
      <c r="E7" s="196" t="s">
        <v>97</v>
      </c>
      <c r="F7" s="196" t="s">
        <v>99</v>
      </c>
      <c r="G7" s="196"/>
      <c r="H7" s="197"/>
      <c r="I7" s="197"/>
      <c r="J7" s="196"/>
      <c r="K7" s="196" t="s">
        <v>113</v>
      </c>
      <c r="L7" s="196" t="s">
        <v>114</v>
      </c>
      <c r="M7" s="196"/>
      <c r="N7" s="196" t="s">
        <v>122</v>
      </c>
      <c r="O7" s="196" t="s">
        <v>123</v>
      </c>
      <c r="P7" s="196"/>
      <c r="Q7" s="196" t="s">
        <v>125</v>
      </c>
      <c r="R7" s="196" t="s">
        <v>126</v>
      </c>
      <c r="S7" s="196"/>
      <c r="T7" s="196" t="s">
        <v>149</v>
      </c>
      <c r="U7" s="196" t="s">
        <v>150</v>
      </c>
      <c r="V7" s="196"/>
      <c r="W7" s="196" t="s">
        <v>152</v>
      </c>
      <c r="X7" s="196" t="s">
        <v>151</v>
      </c>
      <c r="Y7" s="196"/>
      <c r="Z7" s="196" t="s">
        <v>154</v>
      </c>
      <c r="AA7" s="196" t="s">
        <v>153</v>
      </c>
      <c r="AB7" s="196"/>
      <c r="AC7" s="196" t="s">
        <v>772</v>
      </c>
      <c r="AD7" s="196" t="s">
        <v>771</v>
      </c>
    </row>
    <row r="8" spans="1:30" s="180" customFormat="1" ht="35.25" customHeight="1" x14ac:dyDescent="0.2">
      <c r="A8" s="195">
        <v>2005</v>
      </c>
      <c r="B8" s="196" t="s">
        <v>97</v>
      </c>
      <c r="C8" s="196" t="s">
        <v>97</v>
      </c>
      <c r="D8" s="196"/>
      <c r="E8" s="196" t="s">
        <v>99</v>
      </c>
      <c r="F8" s="196" t="s">
        <v>106</v>
      </c>
      <c r="G8" s="196"/>
      <c r="H8" s="197"/>
      <c r="I8" s="197"/>
      <c r="J8" s="196"/>
      <c r="K8" s="196" t="s">
        <v>122</v>
      </c>
      <c r="L8" s="196" t="s">
        <v>123</v>
      </c>
      <c r="M8" s="196"/>
      <c r="N8" s="196" t="s">
        <v>125</v>
      </c>
      <c r="O8" s="196" t="s">
        <v>126</v>
      </c>
      <c r="P8" s="196"/>
      <c r="Q8" s="196" t="s">
        <v>149</v>
      </c>
      <c r="R8" s="196" t="s">
        <v>150</v>
      </c>
      <c r="S8" s="196"/>
      <c r="T8" s="196" t="s">
        <v>152</v>
      </c>
      <c r="U8" s="196" t="s">
        <v>151</v>
      </c>
      <c r="V8" s="196"/>
      <c r="W8" s="196" t="s">
        <v>154</v>
      </c>
      <c r="X8" s="196" t="s">
        <v>153</v>
      </c>
      <c r="Y8" s="196"/>
      <c r="Z8" s="196" t="s">
        <v>772</v>
      </c>
      <c r="AA8" s="196" t="s">
        <v>771</v>
      </c>
      <c r="AB8" s="196"/>
      <c r="AC8" s="198"/>
      <c r="AD8" s="198"/>
    </row>
    <row r="9" spans="1:30" s="180" customFormat="1" ht="35.25" customHeight="1" x14ac:dyDescent="0.2">
      <c r="A9" s="195">
        <v>2006</v>
      </c>
      <c r="B9" s="196" t="s">
        <v>99</v>
      </c>
      <c r="C9" s="196" t="s">
        <v>99</v>
      </c>
      <c r="D9" s="196"/>
      <c r="E9" s="196" t="s">
        <v>106</v>
      </c>
      <c r="F9" s="196" t="s">
        <v>114</v>
      </c>
      <c r="G9" s="196"/>
      <c r="H9" s="197"/>
      <c r="I9" s="197"/>
      <c r="J9" s="196"/>
      <c r="K9" s="196" t="s">
        <v>125</v>
      </c>
      <c r="L9" s="196" t="s">
        <v>126</v>
      </c>
      <c r="M9" s="196"/>
      <c r="N9" s="196" t="s">
        <v>149</v>
      </c>
      <c r="O9" s="196" t="s">
        <v>150</v>
      </c>
      <c r="P9" s="196"/>
      <c r="Q9" s="196" t="s">
        <v>152</v>
      </c>
      <c r="R9" s="196" t="s">
        <v>151</v>
      </c>
      <c r="S9" s="196"/>
      <c r="T9" s="196" t="s">
        <v>154</v>
      </c>
      <c r="U9" s="196" t="s">
        <v>153</v>
      </c>
      <c r="V9" s="196"/>
      <c r="W9" s="196" t="s">
        <v>772</v>
      </c>
      <c r="X9" s="196" t="s">
        <v>771</v>
      </c>
      <c r="Y9" s="196"/>
      <c r="Z9" s="195"/>
      <c r="AA9" s="198"/>
      <c r="AB9" s="196"/>
      <c r="AC9" s="198"/>
      <c r="AD9" s="198"/>
    </row>
    <row r="10" spans="1:30" s="180" customFormat="1" ht="35.25" customHeight="1" x14ac:dyDescent="0.2">
      <c r="A10" s="195">
        <v>2007</v>
      </c>
      <c r="B10" s="196" t="s">
        <v>106</v>
      </c>
      <c r="C10" s="196" t="s">
        <v>106</v>
      </c>
      <c r="D10" s="196"/>
      <c r="E10" s="196" t="s">
        <v>114</v>
      </c>
      <c r="F10" s="196" t="s">
        <v>123</v>
      </c>
      <c r="G10" s="196"/>
      <c r="H10" s="199" t="s">
        <v>91</v>
      </c>
      <c r="I10" s="199" t="s">
        <v>91</v>
      </c>
      <c r="J10" s="196"/>
      <c r="K10" s="196" t="s">
        <v>149</v>
      </c>
      <c r="L10" s="196" t="s">
        <v>150</v>
      </c>
      <c r="M10" s="196"/>
      <c r="N10" s="196" t="s">
        <v>152</v>
      </c>
      <c r="O10" s="196" t="s">
        <v>151</v>
      </c>
      <c r="P10" s="196"/>
      <c r="Q10" s="196" t="s">
        <v>154</v>
      </c>
      <c r="R10" s="196" t="s">
        <v>153</v>
      </c>
      <c r="S10" s="196"/>
      <c r="T10" s="196" t="s">
        <v>772</v>
      </c>
      <c r="U10" s="196" t="s">
        <v>771</v>
      </c>
      <c r="V10" s="196"/>
      <c r="W10" s="195"/>
      <c r="X10" s="198"/>
      <c r="Y10" s="196"/>
      <c r="Z10" s="195"/>
      <c r="AA10" s="198"/>
      <c r="AB10" s="196"/>
      <c r="AC10" s="198"/>
      <c r="AD10" s="198"/>
    </row>
    <row r="11" spans="1:30" s="180" customFormat="1" ht="35.25" customHeight="1" x14ac:dyDescent="0.2">
      <c r="A11" s="195">
        <v>2008</v>
      </c>
      <c r="B11" s="196" t="s">
        <v>114</v>
      </c>
      <c r="C11" s="196" t="s">
        <v>114</v>
      </c>
      <c r="D11" s="196"/>
      <c r="E11" s="196" t="s">
        <v>123</v>
      </c>
      <c r="F11" s="196" t="s">
        <v>126</v>
      </c>
      <c r="G11" s="196"/>
      <c r="H11" s="199" t="s">
        <v>91</v>
      </c>
      <c r="I11" s="199" t="s">
        <v>91</v>
      </c>
      <c r="J11" s="196"/>
      <c r="K11" s="196" t="s">
        <v>152</v>
      </c>
      <c r="L11" s="196" t="s">
        <v>151</v>
      </c>
      <c r="M11" s="196"/>
      <c r="N11" s="196" t="s">
        <v>154</v>
      </c>
      <c r="O11" s="196" t="s">
        <v>153</v>
      </c>
      <c r="P11" s="196"/>
      <c r="Q11" s="196" t="s">
        <v>772</v>
      </c>
      <c r="R11" s="196" t="s">
        <v>771</v>
      </c>
      <c r="S11" s="196"/>
      <c r="T11" s="195"/>
      <c r="U11" s="198"/>
      <c r="V11" s="196"/>
      <c r="W11" s="195"/>
      <c r="X11" s="198"/>
      <c r="Y11" s="196"/>
      <c r="Z11" s="195"/>
      <c r="AA11" s="198"/>
      <c r="AB11" s="196"/>
      <c r="AC11" s="198"/>
      <c r="AD11" s="198"/>
    </row>
    <row r="12" spans="1:30" s="180" customFormat="1" ht="35.25" customHeight="1" x14ac:dyDescent="0.2">
      <c r="A12" s="195">
        <v>2009</v>
      </c>
      <c r="B12" s="196" t="s">
        <v>123</v>
      </c>
      <c r="C12" s="196" t="s">
        <v>123</v>
      </c>
      <c r="D12" s="196"/>
      <c r="E12" s="196" t="s">
        <v>126</v>
      </c>
      <c r="F12" s="196" t="s">
        <v>150</v>
      </c>
      <c r="G12" s="196"/>
      <c r="H12" s="199" t="s">
        <v>91</v>
      </c>
      <c r="I12" s="199" t="s">
        <v>91</v>
      </c>
      <c r="J12" s="196"/>
      <c r="K12" s="196" t="s">
        <v>154</v>
      </c>
      <c r="L12" s="196" t="s">
        <v>153</v>
      </c>
      <c r="M12" s="196"/>
      <c r="N12" s="196" t="s">
        <v>772</v>
      </c>
      <c r="O12" s="196" t="s">
        <v>771</v>
      </c>
      <c r="P12" s="196"/>
      <c r="Q12" s="195"/>
      <c r="R12" s="195"/>
      <c r="S12" s="196"/>
      <c r="T12" s="195"/>
      <c r="U12" s="198"/>
      <c r="V12" s="196"/>
      <c r="W12" s="195"/>
      <c r="X12" s="198"/>
      <c r="Y12" s="196"/>
      <c r="Z12" s="195"/>
      <c r="AA12" s="198"/>
      <c r="AB12" s="196"/>
      <c r="AC12" s="198"/>
      <c r="AD12" s="198"/>
    </row>
    <row r="13" spans="1:30" s="180" customFormat="1" ht="35.25" customHeight="1" x14ac:dyDescent="0.2">
      <c r="A13" s="195">
        <v>2010</v>
      </c>
      <c r="B13" s="196" t="s">
        <v>126</v>
      </c>
      <c r="C13" s="196" t="s">
        <v>126</v>
      </c>
      <c r="D13" s="196"/>
      <c r="E13" s="196" t="s">
        <v>150</v>
      </c>
      <c r="F13" s="196" t="s">
        <v>151</v>
      </c>
      <c r="G13" s="196"/>
      <c r="H13" s="197"/>
      <c r="I13" s="197"/>
      <c r="J13" s="196"/>
      <c r="K13" s="196" t="s">
        <v>772</v>
      </c>
      <c r="L13" s="196" t="s">
        <v>771</v>
      </c>
      <c r="M13" s="196"/>
      <c r="N13" s="195"/>
      <c r="O13" s="195"/>
      <c r="P13" s="196"/>
      <c r="Q13" s="195"/>
      <c r="R13" s="195"/>
      <c r="S13" s="196"/>
      <c r="T13" s="195"/>
      <c r="U13" s="198"/>
      <c r="V13" s="196"/>
      <c r="W13" s="195"/>
      <c r="X13" s="198"/>
      <c r="Y13" s="196"/>
      <c r="Z13" s="195"/>
      <c r="AA13" s="198"/>
      <c r="AB13" s="196"/>
      <c r="AC13" s="198"/>
      <c r="AD13" s="198"/>
    </row>
    <row r="14" spans="1:30" s="180" customFormat="1" ht="34.5" customHeight="1" x14ac:dyDescent="0.2">
      <c r="A14" s="195">
        <v>2011</v>
      </c>
      <c r="B14" s="196" t="s">
        <v>150</v>
      </c>
      <c r="C14" s="196" t="s">
        <v>150</v>
      </c>
      <c r="D14" s="196"/>
      <c r="E14" s="196" t="s">
        <v>151</v>
      </c>
      <c r="F14" s="196" t="s">
        <v>153</v>
      </c>
      <c r="G14" s="196"/>
      <c r="H14" s="197"/>
      <c r="I14" s="197"/>
      <c r="J14" s="196"/>
      <c r="K14" s="195"/>
      <c r="L14" s="195"/>
      <c r="M14" s="196"/>
      <c r="N14" s="195"/>
      <c r="O14" s="195"/>
      <c r="P14" s="196"/>
      <c r="Q14" s="195"/>
      <c r="R14" s="195"/>
      <c r="S14" s="196"/>
      <c r="T14" s="195"/>
      <c r="U14" s="198"/>
      <c r="V14" s="196"/>
      <c r="W14" s="195"/>
      <c r="X14" s="198"/>
      <c r="Y14" s="196"/>
      <c r="Z14" s="195"/>
      <c r="AA14" s="198"/>
      <c r="AB14" s="196"/>
      <c r="AC14" s="198"/>
      <c r="AD14" s="198"/>
    </row>
    <row r="15" spans="1:30" s="180" customFormat="1" ht="34.5" customHeight="1" x14ac:dyDescent="0.2">
      <c r="A15" s="195">
        <v>2012</v>
      </c>
      <c r="B15" s="196" t="s">
        <v>151</v>
      </c>
      <c r="C15" s="196" t="s">
        <v>151</v>
      </c>
      <c r="D15" s="198"/>
      <c r="E15" s="196" t="s">
        <v>153</v>
      </c>
      <c r="F15" s="196" t="s">
        <v>771</v>
      </c>
      <c r="G15" s="198"/>
      <c r="H15" s="196"/>
      <c r="I15" s="196"/>
      <c r="J15" s="198"/>
      <c r="K15" s="198"/>
      <c r="L15" s="198"/>
      <c r="M15" s="198"/>
      <c r="N15" s="198"/>
      <c r="O15" s="198"/>
      <c r="P15" s="198"/>
      <c r="Q15" s="198"/>
      <c r="R15" s="198"/>
      <c r="S15" s="198"/>
      <c r="T15" s="195"/>
      <c r="U15" s="198"/>
      <c r="V15" s="198"/>
      <c r="W15" s="195"/>
      <c r="X15" s="198"/>
      <c r="Y15" s="198"/>
      <c r="Z15" s="198"/>
      <c r="AA15" s="198"/>
      <c r="AB15" s="198"/>
      <c r="AC15" s="198"/>
      <c r="AD15" s="198"/>
    </row>
    <row r="16" spans="1:30" ht="34.5" customHeight="1" x14ac:dyDescent="0.2">
      <c r="A16" s="195">
        <v>2013</v>
      </c>
      <c r="B16" s="196" t="s">
        <v>153</v>
      </c>
      <c r="C16" s="196" t="s">
        <v>153</v>
      </c>
      <c r="D16" s="198"/>
      <c r="E16" s="196" t="s">
        <v>771</v>
      </c>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row>
    <row r="17" spans="1:30" s="181" customFormat="1" ht="11.25" x14ac:dyDescent="0.2">
      <c r="A17" s="195"/>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row>
    <row r="20" spans="1:30" x14ac:dyDescent="0.2">
      <c r="A20" s="181"/>
      <c r="B20" s="181"/>
    </row>
    <row r="21" spans="1:30" x14ac:dyDescent="0.2">
      <c r="O21" s="386"/>
      <c r="P21" s="387"/>
      <c r="Q21" s="387"/>
      <c r="R21" s="387"/>
      <c r="S21" s="387"/>
    </row>
    <row r="22" spans="1:30" x14ac:dyDescent="0.2">
      <c r="A22" s="181"/>
    </row>
  </sheetData>
  <sheetProtection password="C5D1" sheet="1" objects="1" scenarios="1"/>
  <mergeCells count="5">
    <mergeCell ref="A1:AD1"/>
    <mergeCell ref="A2:AD2"/>
    <mergeCell ref="E4:F4"/>
    <mergeCell ref="H4:AD4"/>
    <mergeCell ref="O21:S21"/>
  </mergeCells>
  <printOptions horizontalCentered="1"/>
  <pageMargins left="0.25" right="0.25" top="0.75" bottom="0.5" header="0.5" footer="0.24"/>
  <pageSetup firstPageNumber="123" orientation="landscape" useFirstPageNumber="1" r:id="rId1"/>
  <headerFooter>
    <oddFooter>&amp;L&amp;8© C-IDEA, The University of Oklahoma, 12/14/14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Introduction</vt:lpstr>
      <vt:lpstr>Instructions</vt:lpstr>
      <vt:lpstr>Section I</vt:lpstr>
      <vt:lpstr>Section I_Alternative</vt:lpstr>
      <vt:lpstr>Characteristics</vt:lpstr>
      <vt:lpstr>Section I Checklist</vt:lpstr>
      <vt:lpstr>Definitions</vt:lpstr>
      <vt:lpstr>Documentation</vt:lpstr>
      <vt:lpstr>Characteristics!Print_Area</vt:lpstr>
      <vt:lpstr>Definitions!Print_Area</vt:lpstr>
      <vt:lpstr>Documentation!Print_Area</vt:lpstr>
      <vt:lpstr>Instructions!Print_Area</vt:lpstr>
      <vt:lpstr>Introduction!Print_Area</vt:lpstr>
      <vt:lpstr>'Section I'!Print_Area</vt:lpstr>
      <vt:lpstr>'Section I Checklist'!Print_Area</vt:lpstr>
      <vt:lpstr>'Section I'!Print_Titles</vt:lpstr>
      <vt:lpstr>'Section I Checklist'!Text1</vt:lpstr>
      <vt:lpstr>'Section I Checklist'!Text2</vt:lpstr>
      <vt:lpstr>'Section I Checklist'!Text3</vt:lpstr>
      <vt:lpstr>'Section I Checklist'!Text4</vt:lpstr>
      <vt:lpstr>'Section I Checklist'!Text5</vt:lpstr>
      <vt:lpstr>'Section I Checklist'!Text6</vt:lpstr>
    </vt:vector>
  </TitlesOfParts>
  <Company>University of Oklahoma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c-idea</dc:creator>
  <cp:lastModifiedBy>Information Technology Services</cp:lastModifiedBy>
  <cp:lastPrinted>2014-12-18T22:53:25Z</cp:lastPrinted>
  <dcterms:created xsi:type="dcterms:W3CDTF">1999-12-20T21:54:26Z</dcterms:created>
  <dcterms:modified xsi:type="dcterms:W3CDTF">2015-01-29T21:30:56Z</dcterms:modified>
</cp:coreProperties>
</file>